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20" windowWidth="19995" windowHeight="14610"/>
  </bookViews>
  <sheets>
    <sheet name="Horizontal Well (Babu&amp;Ode)" sheetId="9" r:id="rId1"/>
  </sheets>
  <calcPr calcId="145621" calcMode="autoNoTable" refMode="R1C1"/>
</workbook>
</file>

<file path=xl/calcChain.xml><?xml version="1.0" encoding="utf-8"?>
<calcChain xmlns="http://schemas.openxmlformats.org/spreadsheetml/2006/main">
  <c r="AG24" i="9"/>
  <c r="AG25"/>
  <c r="AE26"/>
  <c r="AE28"/>
  <c r="AE29"/>
  <c r="AD37"/>
  <c r="AG2"/>
  <c r="AG3"/>
  <c r="AF3"/>
  <c r="AM3"/>
  <c r="AF1"/>
  <c r="AG1"/>
  <c r="AF2"/>
  <c r="AM16"/>
  <c r="AI4"/>
  <c r="AJ6"/>
  <c r="AJ4"/>
  <c r="D14"/>
  <c r="AF32"/>
  <c r="D10"/>
  <c r="AK21"/>
  <c r="AK27"/>
  <c r="D13"/>
  <c r="AM15"/>
  <c r="AN15"/>
  <c r="D15"/>
  <c r="AD1"/>
  <c r="AE32"/>
  <c r="AI2"/>
  <c r="AL5"/>
  <c r="AL4"/>
  <c r="AL3"/>
  <c r="AL1"/>
  <c r="AI1"/>
  <c r="AE33"/>
  <c r="AK23"/>
  <c r="AK19"/>
  <c r="AF33"/>
  <c r="AP15"/>
  <c r="AK18"/>
  <c r="AK26"/>
  <c r="AM17"/>
  <c r="AN16"/>
  <c r="AN17"/>
  <c r="AK25"/>
  <c r="AK28"/>
  <c r="AN18"/>
  <c r="AI3"/>
  <c r="AI6"/>
  <c r="AK29"/>
  <c r="AK20"/>
  <c r="AM18"/>
  <c r="AN20"/>
  <c r="AD2"/>
  <c r="B23"/>
  <c r="AD4"/>
  <c r="D22"/>
</calcChain>
</file>

<file path=xl/comments1.xml><?xml version="1.0" encoding="utf-8"?>
<comments xmlns="http://schemas.openxmlformats.org/spreadsheetml/2006/main">
  <authors>
    <author>vakrasnov</author>
  </authors>
  <commentList>
    <comment ref="B6" authorId="0">
      <text>
        <r>
          <rPr>
            <b/>
            <sz val="8"/>
            <color indexed="81"/>
            <rFont val="Tahoma"/>
            <family val="2"/>
            <charset val="204"/>
          </rPr>
          <t>Kx=Ky</t>
        </r>
      </text>
    </comment>
  </commentList>
</comments>
</file>

<file path=xl/sharedStrings.xml><?xml version="1.0" encoding="utf-8"?>
<sst xmlns="http://schemas.openxmlformats.org/spreadsheetml/2006/main" count="65" uniqueCount="55">
  <si>
    <t>Мощность пласта</t>
  </si>
  <si>
    <t>L</t>
  </si>
  <si>
    <t>м</t>
  </si>
  <si>
    <t>h</t>
  </si>
  <si>
    <t>Радиус скважины</t>
  </si>
  <si>
    <t>Коэффициент анизотропии проницаемостей</t>
  </si>
  <si>
    <r>
      <t>r</t>
    </r>
    <r>
      <rPr>
        <vertAlign val="subscript"/>
        <sz val="10"/>
        <rFont val="Arial"/>
        <family val="2"/>
        <charset val="204"/>
      </rPr>
      <t>w</t>
    </r>
  </si>
  <si>
    <r>
      <t>k</t>
    </r>
    <r>
      <rPr>
        <vertAlign val="subscript"/>
        <sz val="10"/>
        <rFont val="Arial"/>
        <family val="2"/>
        <charset val="204"/>
      </rPr>
      <t xml:space="preserve">V </t>
    </r>
    <r>
      <rPr>
        <sz val="10"/>
        <rFont val="Arial"/>
        <family val="2"/>
        <charset val="204"/>
      </rPr>
      <t>/ k</t>
    </r>
    <r>
      <rPr>
        <vertAlign val="subscript"/>
        <sz val="10"/>
        <rFont val="Arial"/>
        <family val="2"/>
        <charset val="204"/>
      </rPr>
      <t>H</t>
    </r>
  </si>
  <si>
    <t>мД</t>
  </si>
  <si>
    <t>μ</t>
  </si>
  <si>
    <t>сП</t>
  </si>
  <si>
    <r>
      <t>м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>/сут</t>
    </r>
  </si>
  <si>
    <t>Длина горизонтального участка</t>
  </si>
  <si>
    <t>Горизонтальная проницаемость</t>
  </si>
  <si>
    <r>
      <t>Q</t>
    </r>
    <r>
      <rPr>
        <b/>
        <vertAlign val="subscript"/>
        <sz val="10"/>
        <rFont val="Arial"/>
        <family val="2"/>
        <charset val="204"/>
      </rPr>
      <t>h</t>
    </r>
  </si>
  <si>
    <t>Забойное давление</t>
  </si>
  <si>
    <t>Pwf</t>
  </si>
  <si>
    <t>Pe</t>
  </si>
  <si>
    <t>атм</t>
  </si>
  <si>
    <t>Вязкость жидкости</t>
  </si>
  <si>
    <t>Объемный коэффициент</t>
  </si>
  <si>
    <t>B</t>
  </si>
  <si>
    <r>
      <t>k</t>
    </r>
    <r>
      <rPr>
        <vertAlign val="subscript"/>
        <sz val="10"/>
        <rFont val="Arial"/>
        <family val="2"/>
        <charset val="204"/>
      </rPr>
      <t xml:space="preserve">H </t>
    </r>
    <r>
      <rPr>
        <sz val="10"/>
        <rFont val="Arial"/>
        <family val="2"/>
        <charset val="204"/>
      </rPr>
      <t xml:space="preserve"> </t>
    </r>
  </si>
  <si>
    <t>Расстояние от подошвы пласта до ствола скважины</t>
  </si>
  <si>
    <t>a</t>
  </si>
  <si>
    <t>b</t>
  </si>
  <si>
    <t>Скин-фактор кольматации</t>
  </si>
  <si>
    <t>S</t>
  </si>
  <si>
    <r>
      <t xml:space="preserve">Координата положения ствола по оси </t>
    </r>
    <r>
      <rPr>
        <b/>
        <sz val="11"/>
        <rFont val="Arial"/>
        <family val="2"/>
        <charset val="204"/>
      </rPr>
      <t>x</t>
    </r>
  </si>
  <si>
    <r>
      <t>Z</t>
    </r>
    <r>
      <rPr>
        <vertAlign val="subscript"/>
        <sz val="10"/>
        <rFont val="Arial"/>
        <family val="2"/>
        <charset val="204"/>
      </rPr>
      <t>0</t>
    </r>
  </si>
  <si>
    <r>
      <t>x</t>
    </r>
    <r>
      <rPr>
        <vertAlign val="subscript"/>
        <sz val="10"/>
        <rFont val="Arial"/>
        <family val="2"/>
        <charset val="204"/>
      </rPr>
      <t>0</t>
    </r>
  </si>
  <si>
    <r>
      <t>y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/>
    </r>
  </si>
  <si>
    <r>
      <t>y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/>
    </r>
  </si>
  <si>
    <r>
      <t xml:space="preserve">Длина стороны параллелепипеда по оси </t>
    </r>
    <r>
      <rPr>
        <b/>
        <sz val="11"/>
        <rFont val="Arial"/>
        <family val="2"/>
        <charset val="204"/>
      </rPr>
      <t>x</t>
    </r>
    <r>
      <rPr>
        <sz val="10"/>
        <rFont val="Arial"/>
        <family val="2"/>
        <charset val="204"/>
      </rPr>
      <t xml:space="preserve"> (поперек ГС)</t>
    </r>
  </si>
  <si>
    <r>
      <t xml:space="preserve">Длина стороны параллелепипеда по оси </t>
    </r>
    <r>
      <rPr>
        <b/>
        <sz val="11"/>
        <rFont val="Arial"/>
        <family val="2"/>
        <charset val="204"/>
      </rPr>
      <t>y</t>
    </r>
    <r>
      <rPr>
        <sz val="10"/>
        <rFont val="Arial"/>
        <family val="2"/>
        <charset val="204"/>
      </rPr>
      <t xml:space="preserve"> (вдоль ГС)</t>
    </r>
  </si>
  <si>
    <r>
      <t xml:space="preserve">Координаты положения ствола по оси </t>
    </r>
    <r>
      <rPr>
        <b/>
        <sz val="11"/>
        <rFont val="Arial"/>
        <family val="2"/>
        <charset val="204"/>
      </rPr>
      <t>y</t>
    </r>
  </si>
  <si>
    <t>Horizontal Well Productivity calculation (Babu &amp; Odeh, 1989)</t>
  </si>
  <si>
    <t>Расчет продуктивности горизонатльной скважины на псевдоустановившемся режиме</t>
  </si>
  <si>
    <t>Давление средневзвешенное в зоне дренирования</t>
  </si>
  <si>
    <t>усл.1</t>
  </si>
  <si>
    <t>усл.2</t>
  </si>
  <si>
    <t>F(L/2b) =</t>
  </si>
  <si>
    <t>усл.мин.</t>
  </si>
  <si>
    <r>
      <t>ln(C</t>
    </r>
    <r>
      <rPr>
        <vertAlign val="subscript"/>
        <sz val="10"/>
        <color indexed="9"/>
        <rFont val="Arial"/>
        <family val="2"/>
        <charset val="204"/>
      </rPr>
      <t>H</t>
    </r>
    <r>
      <rPr>
        <sz val="10"/>
        <color indexed="9"/>
        <rFont val="Arial"/>
        <family val="2"/>
        <charset val="204"/>
      </rPr>
      <t>) =</t>
    </r>
  </si>
  <si>
    <r>
      <t>S</t>
    </r>
    <r>
      <rPr>
        <vertAlign val="subscript"/>
        <sz val="10"/>
        <color indexed="9"/>
        <rFont val="Arial"/>
        <family val="2"/>
        <charset val="204"/>
      </rPr>
      <t>r</t>
    </r>
    <r>
      <rPr>
        <sz val="10"/>
        <color indexed="9"/>
        <rFont val="Arial"/>
        <family val="2"/>
        <charset val="204"/>
      </rPr>
      <t xml:space="preserve"> =</t>
    </r>
  </si>
  <si>
    <r>
      <t>P</t>
    </r>
    <r>
      <rPr>
        <vertAlign val="subscript"/>
        <sz val="10"/>
        <color indexed="9"/>
        <rFont val="Arial"/>
        <family val="2"/>
        <charset val="204"/>
      </rPr>
      <t>xy</t>
    </r>
    <r>
      <rPr>
        <sz val="10"/>
        <color indexed="9"/>
        <rFont val="Arial"/>
        <family val="2"/>
        <charset val="204"/>
      </rPr>
      <t xml:space="preserve"> =</t>
    </r>
  </si>
  <si>
    <r>
      <t>P</t>
    </r>
    <r>
      <rPr>
        <vertAlign val="subscript"/>
        <sz val="10"/>
        <color indexed="9"/>
        <rFont val="Arial"/>
        <family val="2"/>
        <charset val="204"/>
      </rPr>
      <t>y</t>
    </r>
    <r>
      <rPr>
        <sz val="10"/>
        <color indexed="9"/>
        <rFont val="Arial"/>
        <family val="2"/>
        <charset val="204"/>
      </rPr>
      <t xml:space="preserve"> =</t>
    </r>
  </si>
  <si>
    <r>
      <t>'P</t>
    </r>
    <r>
      <rPr>
        <vertAlign val="subscript"/>
        <sz val="10"/>
        <color indexed="9"/>
        <rFont val="Arial"/>
        <family val="2"/>
        <charset val="204"/>
      </rPr>
      <t>xy</t>
    </r>
    <r>
      <rPr>
        <sz val="10"/>
        <color indexed="9"/>
        <rFont val="Arial"/>
        <family val="2"/>
        <charset val="204"/>
      </rPr>
      <t xml:space="preserve"> =</t>
    </r>
  </si>
  <si>
    <r>
      <t>P</t>
    </r>
    <r>
      <rPr>
        <vertAlign val="subscript"/>
        <sz val="10"/>
        <color indexed="9"/>
        <rFont val="Arial"/>
        <family val="2"/>
        <charset val="204"/>
      </rPr>
      <t>xyz</t>
    </r>
    <r>
      <rPr>
        <sz val="10"/>
        <color indexed="9"/>
        <rFont val="Arial"/>
        <family val="2"/>
        <charset val="204"/>
      </rPr>
      <t xml:space="preserve"> =</t>
    </r>
  </si>
  <si>
    <r>
      <t>y</t>
    </r>
    <r>
      <rPr>
        <vertAlign val="subscript"/>
        <sz val="10"/>
        <color indexed="9"/>
        <rFont val="Arial"/>
        <family val="2"/>
        <charset val="204"/>
      </rPr>
      <t>m</t>
    </r>
    <r>
      <rPr>
        <sz val="10"/>
        <color indexed="9"/>
        <rFont val="Arial"/>
        <family val="2"/>
        <charset val="204"/>
      </rPr>
      <t xml:space="preserve"> =</t>
    </r>
  </si>
  <si>
    <r>
      <t>(4y</t>
    </r>
    <r>
      <rPr>
        <vertAlign val="subscript"/>
        <sz val="10"/>
        <color indexed="9"/>
        <rFont val="Arial"/>
        <family val="2"/>
        <charset val="204"/>
      </rPr>
      <t>m</t>
    </r>
    <r>
      <rPr>
        <sz val="10"/>
        <color indexed="9"/>
        <rFont val="Arial"/>
        <family val="2"/>
        <charset val="204"/>
      </rPr>
      <t>+L)/2b =</t>
    </r>
  </si>
  <si>
    <r>
      <t>(4y</t>
    </r>
    <r>
      <rPr>
        <vertAlign val="subscript"/>
        <sz val="10"/>
        <color indexed="9"/>
        <rFont val="Arial"/>
        <family val="2"/>
        <charset val="204"/>
      </rPr>
      <t>m</t>
    </r>
    <r>
      <rPr>
        <sz val="10"/>
        <color indexed="9"/>
        <rFont val="Arial"/>
        <family val="2"/>
        <charset val="204"/>
      </rPr>
      <t>-L)/2b =</t>
    </r>
  </si>
  <si>
    <r>
      <t>F((4y</t>
    </r>
    <r>
      <rPr>
        <vertAlign val="subscript"/>
        <sz val="10"/>
        <color indexed="9"/>
        <rFont val="Arial"/>
        <family val="2"/>
        <charset val="204"/>
      </rPr>
      <t>m</t>
    </r>
    <r>
      <rPr>
        <sz val="10"/>
        <color indexed="9"/>
        <rFont val="Arial"/>
        <family val="2"/>
        <charset val="204"/>
      </rPr>
      <t>+L)/2b) =</t>
    </r>
  </si>
  <si>
    <r>
      <t>F((4y</t>
    </r>
    <r>
      <rPr>
        <vertAlign val="subscript"/>
        <sz val="10"/>
        <color indexed="9"/>
        <rFont val="Arial"/>
        <family val="2"/>
        <charset val="204"/>
      </rPr>
      <t>m</t>
    </r>
    <r>
      <rPr>
        <sz val="10"/>
        <color indexed="9"/>
        <rFont val="Arial"/>
        <family val="2"/>
        <charset val="204"/>
      </rPr>
      <t>-L)/2b) =</t>
    </r>
  </si>
  <si>
    <t>Дебит на псевдоустановившемся режиме</t>
  </si>
</sst>
</file>

<file path=xl/styles.xml><?xml version="1.0" encoding="utf-8"?>
<styleSheet xmlns="http://schemas.openxmlformats.org/spreadsheetml/2006/main">
  <numFmts count="1">
    <numFmt numFmtId="164" formatCode="0.00000000000000"/>
  </numFmts>
  <fonts count="16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vertAlign val="subscript"/>
      <sz val="10"/>
      <name val="Arial"/>
      <family val="2"/>
      <charset val="204"/>
    </font>
    <font>
      <b/>
      <vertAlign val="subscript"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color indexed="9"/>
      <name val="Arial"/>
      <family val="2"/>
      <charset val="204"/>
    </font>
    <font>
      <vertAlign val="subscript"/>
      <sz val="10"/>
      <color indexed="9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2" borderId="0" xfId="0" applyFill="1"/>
    <xf numFmtId="0" fontId="0" fillId="4" borderId="0" xfId="0" applyFill="1" applyBorder="1"/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2" fillId="4" borderId="0" xfId="0" applyFont="1" applyFill="1" applyBorder="1"/>
    <xf numFmtId="0" fontId="0" fillId="4" borderId="16" xfId="0" applyFill="1" applyBorder="1"/>
    <xf numFmtId="0" fontId="5" fillId="4" borderId="0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1" fillId="4" borderId="18" xfId="0" applyFont="1" applyFill="1" applyBorder="1"/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0" fillId="5" borderId="5" xfId="0" applyNumberForma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2" fontId="8" fillId="2" borderId="0" xfId="0" applyNumberFormat="1" applyFont="1" applyFill="1"/>
    <xf numFmtId="164" fontId="8" fillId="2" borderId="0" xfId="0" applyNumberFormat="1" applyFont="1" applyFill="1"/>
    <xf numFmtId="0" fontId="8" fillId="2" borderId="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vertical="top"/>
    </xf>
    <xf numFmtId="2" fontId="10" fillId="2" borderId="8" xfId="0" quotePrefix="1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8" fillId="2" borderId="2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5" fillId="4" borderId="13" xfId="0" applyFont="1" applyFill="1" applyBorder="1"/>
    <xf numFmtId="0" fontId="15" fillId="4" borderId="0" xfId="0" applyFont="1" applyFill="1" applyBorder="1"/>
    <xf numFmtId="0" fontId="14" fillId="0" borderId="0" xfId="0" applyFont="1" applyFill="1" applyBorder="1"/>
    <xf numFmtId="0" fontId="0" fillId="6" borderId="0" xfId="0" applyFill="1"/>
    <xf numFmtId="0" fontId="1" fillId="4" borderId="0" xfId="0" applyFont="1" applyFill="1" applyBorder="1"/>
    <xf numFmtId="0" fontId="0" fillId="5" borderId="5" xfId="0" applyFill="1" applyBorder="1" applyAlignment="1">
      <alignment horizontal="center" vertical="center"/>
    </xf>
    <xf numFmtId="1" fontId="0" fillId="7" borderId="5" xfId="0" applyNumberForma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/>
    </xf>
    <xf numFmtId="1" fontId="14" fillId="0" borderId="0" xfId="0" applyNumberFormat="1" applyFont="1" applyFill="1"/>
    <xf numFmtId="0" fontId="14" fillId="0" borderId="0" xfId="0" applyFont="1" applyFill="1" applyBorder="1" applyAlignment="1">
      <alignment horizontal="center"/>
    </xf>
    <xf numFmtId="1" fontId="14" fillId="0" borderId="0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quotePrefix="1" applyFont="1" applyFill="1" applyBorder="1" applyAlignment="1">
      <alignment horizontal="right"/>
    </xf>
    <xf numFmtId="0" fontId="8" fillId="2" borderId="2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</cellXfs>
  <cellStyles count="1">
    <cellStyle name="Обычный" xfId="0" builtinId="0"/>
  </cellStyles>
  <dxfs count="2">
    <dxf>
      <font>
        <color rgb="FFFF0000"/>
      </font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6534222000768274E-2"/>
          <c:y val="0.10270176221393723"/>
          <c:w val="0.77234266013362063"/>
          <c:h val="0.78949360320616513"/>
        </c:manualLayout>
      </c:layout>
      <c:scatterChart>
        <c:scatterStyle val="lineMarker"/>
        <c:ser>
          <c:idx val="0"/>
          <c:order val="0"/>
          <c:tx>
            <c:v>a1</c:v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'Horizontal Well (Babu&amp;Ode)'!$AE$27:$AE$28</c:f>
              <c:numCache>
                <c:formatCode>0</c:formatCode>
                <c:ptCount val="2"/>
                <c:pt idx="0" formatCode="General">
                  <c:v>0</c:v>
                </c:pt>
                <c:pt idx="1">
                  <c:v>500</c:v>
                </c:pt>
              </c:numCache>
            </c:numRef>
          </c:xVal>
          <c:yVal>
            <c:numRef>
              <c:f>'Horizontal Well (Babu&amp;Ode)'!$AF$27:$AF$28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1"/>
          <c:order val="1"/>
          <c:tx>
            <c:v>b</c:v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'Horizontal Well (Babu&amp;Ode)'!$AF$25:$AF$26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'Horizontal Well (Babu&amp;Ode)'!$AE$25:$AE$26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1000</c:v>
                </c:pt>
              </c:numCache>
            </c:numRef>
          </c:yVal>
        </c:ser>
        <c:ser>
          <c:idx val="2"/>
          <c:order val="2"/>
          <c:tx>
            <c:v>b2</c:v>
          </c:tx>
          <c:spPr>
            <a:ln w="19050">
              <a:solidFill>
                <a:srgbClr val="0070C0"/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'Horizontal Well (Babu&amp;Ode)'!$AE$28:$AE$29</c:f>
              <c:numCache>
                <c:formatCode>0</c:formatCode>
                <c:ptCount val="2"/>
                <c:pt idx="0">
                  <c:v>500</c:v>
                </c:pt>
                <c:pt idx="1">
                  <c:v>500</c:v>
                </c:pt>
              </c:numCache>
            </c:numRef>
          </c:xVal>
          <c:yVal>
            <c:numRef>
              <c:f>'Horizontal Well (Babu&amp;Ode)'!$AG$25:$AG$26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0</c:v>
                </c:pt>
              </c:numCache>
            </c:numRef>
          </c:yVal>
        </c:ser>
        <c:ser>
          <c:idx val="3"/>
          <c:order val="3"/>
          <c:tx>
            <c:v>a2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'Horizontal Well (Babu&amp;Ode)'!$AE$27:$AE$28</c:f>
              <c:numCache>
                <c:formatCode>0</c:formatCode>
                <c:ptCount val="2"/>
                <c:pt idx="0" formatCode="General">
                  <c:v>0</c:v>
                </c:pt>
                <c:pt idx="1">
                  <c:v>500</c:v>
                </c:pt>
              </c:numCache>
            </c:numRef>
          </c:xVal>
          <c:yVal>
            <c:numRef>
              <c:f>'Horizontal Well (Babu&amp;Ode)'!$AG$24:$AG$25</c:f>
              <c:numCache>
                <c:formatCode>0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yVal>
        </c:ser>
        <c:ser>
          <c:idx val="4"/>
          <c:order val="4"/>
          <c:tx>
            <c:v>L</c:v>
          </c:tx>
          <c:spPr>
            <a:ln w="38100">
              <a:solidFill>
                <a:prstClr val="black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 w="15875">
                <a:solidFill>
                  <a:prstClr val="black"/>
                </a:solidFill>
              </a:ln>
            </c:spPr>
          </c:marker>
          <c:xVal>
            <c:numRef>
              <c:f>'Horizontal Well (Babu&amp;Ode)'!$AE$32:$AE$33</c:f>
              <c:numCache>
                <c:formatCode>0</c:formatCode>
                <c:ptCount val="2"/>
                <c:pt idx="0">
                  <c:v>250</c:v>
                </c:pt>
                <c:pt idx="1">
                  <c:v>250</c:v>
                </c:pt>
              </c:numCache>
            </c:numRef>
          </c:xVal>
          <c:yVal>
            <c:numRef>
              <c:f>'Horizontal Well (Babu&amp;Ode)'!$AF$32:$AF$33</c:f>
              <c:numCache>
                <c:formatCode>0</c:formatCode>
                <c:ptCount val="2"/>
                <c:pt idx="0">
                  <c:v>350</c:v>
                </c:pt>
                <c:pt idx="1">
                  <c:v>650</c:v>
                </c:pt>
              </c:numCache>
            </c:numRef>
          </c:yVal>
        </c:ser>
        <c:ser>
          <c:idx val="5"/>
          <c:order val="5"/>
          <c:tx>
            <c:v>a</c:v>
          </c:tx>
          <c:marker>
            <c:symbol val="none"/>
          </c:marker>
          <c:dLbls>
            <c:dLbl>
              <c:idx val="0"/>
              <c:layout>
                <c:manualLayout>
                  <c:x val="0.2491351291067064"/>
                  <c:y val="3.37552966911171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r"/>
            </c:dLbl>
            <c:txPr>
              <a:bodyPr/>
              <a:lstStyle/>
              <a:p>
                <a:pPr>
                  <a:defRPr sz="1300" b="1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dLblPos val="r"/>
            <c:showSerName val="1"/>
          </c:dLbls>
          <c:xVal>
            <c:numRef>
              <c:f>'Horizontal Well (Babu&amp;Ode)'!$AE$27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'Horizontal Well (Babu&amp;Ode)'!$AE$26</c:f>
              <c:numCache>
                <c:formatCode>0</c:formatCode>
                <c:ptCount val="1"/>
                <c:pt idx="0">
                  <c:v>1000</c:v>
                </c:pt>
              </c:numCache>
            </c:numRef>
          </c:yVal>
        </c:ser>
        <c:ser>
          <c:idx val="6"/>
          <c:order val="6"/>
          <c:tx>
            <c:v>b</c:v>
          </c:tx>
          <c:marker>
            <c:symbol val="none"/>
          </c:marker>
          <c:dLbls>
            <c:dLbl>
              <c:idx val="0"/>
              <c:layout>
                <c:manualLayout>
                  <c:x val="-1.3840840505928141E-2"/>
                  <c:y val="0.303797670220054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r"/>
            </c:dLbl>
            <c:txPr>
              <a:bodyPr/>
              <a:lstStyle/>
              <a:p>
                <a:pPr>
                  <a:defRPr sz="1300" b="1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SerName val="1"/>
          </c:dLbls>
          <c:xVal>
            <c:numRef>
              <c:f>'Horizontal Well (Babu&amp;Ode)'!$AE$28</c:f>
              <c:numCache>
                <c:formatCode>0</c:formatCode>
                <c:ptCount val="1"/>
                <c:pt idx="0">
                  <c:v>500</c:v>
                </c:pt>
              </c:numCache>
            </c:numRef>
          </c:xVal>
          <c:yVal>
            <c:numRef>
              <c:f>'Horizontal Well (Babu&amp;Ode)'!$AE$25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axId val="77809920"/>
        <c:axId val="77840384"/>
      </c:scatterChart>
      <c:valAx>
        <c:axId val="77809920"/>
        <c:scaling>
          <c:orientation val="minMax"/>
          <c:min val="0"/>
        </c:scaling>
        <c:axPos val="t"/>
        <c:numFmt formatCode="General" sourceLinked="1"/>
        <c:tickLblPos val="nextTo"/>
        <c:spPr>
          <a:ln w="0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77840384"/>
        <c:crosses val="autoZero"/>
        <c:crossBetween val="midCat"/>
      </c:valAx>
      <c:valAx>
        <c:axId val="77840384"/>
        <c:scaling>
          <c:orientation val="maxMin"/>
          <c:min val="0"/>
        </c:scaling>
        <c:axPos val="l"/>
        <c:numFmt formatCode="General" sourceLinked="1"/>
        <c:tickLblPos val="nextTo"/>
        <c:spPr>
          <a:ln w="0"/>
        </c:spPr>
        <c:crossAx val="778099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19050</xdr:rowOff>
    </xdr:from>
    <xdr:to>
      <xdr:col>15</xdr:col>
      <xdr:colOff>476250</xdr:colOff>
      <xdr:row>13</xdr:row>
      <xdr:rowOff>171450</xdr:rowOff>
    </xdr:to>
    <xdr:pic>
      <xdr:nvPicPr>
        <xdr:cNvPr id="12293" name="Picture 97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781050"/>
          <a:ext cx="5495925" cy="1866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3</xdr:row>
      <xdr:rowOff>133350</xdr:rowOff>
    </xdr:from>
    <xdr:to>
      <xdr:col>11</xdr:col>
      <xdr:colOff>180975</xdr:colOff>
      <xdr:row>19</xdr:row>
      <xdr:rowOff>95250</xdr:rowOff>
    </xdr:to>
    <xdr:graphicFrame macro="">
      <xdr:nvGraphicFramePr>
        <xdr:cNvPr id="12294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257175</xdr:colOff>
      <xdr:row>4</xdr:row>
      <xdr:rowOff>114300</xdr:rowOff>
    </xdr:from>
    <xdr:to>
      <xdr:col>18</xdr:col>
      <xdr:colOff>514350</xdr:colOff>
      <xdr:row>17</xdr:row>
      <xdr:rowOff>104775</xdr:rowOff>
    </xdr:to>
    <xdr:pic>
      <xdr:nvPicPr>
        <xdr:cNvPr id="122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58200" y="876300"/>
          <a:ext cx="4524375" cy="2466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AW48"/>
  <sheetViews>
    <sheetView tabSelected="1" workbookViewId="0">
      <selection activeCell="D19" sqref="D19"/>
    </sheetView>
  </sheetViews>
  <sheetFormatPr defaultRowHeight="12.75"/>
  <cols>
    <col min="1" max="1" width="2.85546875" style="15" customWidth="1"/>
    <col min="2" max="2" width="49.28515625" style="15" customWidth="1"/>
    <col min="3" max="3" width="9.140625" style="15"/>
    <col min="4" max="4" width="11" style="15" customWidth="1"/>
    <col min="5" max="5" width="9.140625" style="15"/>
    <col min="6" max="7" width="2.85546875" style="15" customWidth="1"/>
    <col min="8" max="9" width="9.140625" style="15"/>
    <col min="10" max="10" width="8.42578125" style="15" customWidth="1"/>
    <col min="11" max="11" width="9.140625" style="15"/>
    <col min="12" max="19" width="9.140625" style="15" customWidth="1"/>
    <col min="20" max="27" width="9.140625" style="40" customWidth="1"/>
    <col min="28" max="28" width="9.140625" style="51"/>
    <col min="29" max="29" width="8.7109375" style="51" customWidth="1"/>
    <col min="30" max="35" width="9.140625" style="51"/>
    <col min="36" max="36" width="14.28515625" style="51" customWidth="1"/>
    <col min="37" max="43" width="9.140625" style="51"/>
    <col min="44" max="49" width="9.140625" style="40"/>
    <col min="50" max="16384" width="9.140625" style="15"/>
  </cols>
  <sheetData>
    <row r="1" spans="1:43" ht="15" customHeight="1">
      <c r="A1" s="26"/>
      <c r="B1" s="27"/>
      <c r="C1" s="27"/>
      <c r="D1" s="57"/>
      <c r="E1" s="57"/>
      <c r="F1" s="27"/>
      <c r="G1" s="27"/>
      <c r="H1" s="55"/>
      <c r="I1" s="55"/>
      <c r="J1" s="54"/>
      <c r="K1" s="27"/>
      <c r="L1" s="27"/>
      <c r="M1" s="27"/>
      <c r="N1" s="27"/>
      <c r="O1" s="27"/>
      <c r="P1" s="27"/>
      <c r="Q1" s="27"/>
      <c r="R1" s="27"/>
      <c r="S1" s="28"/>
      <c r="AC1" s="61" t="s">
        <v>43</v>
      </c>
      <c r="AD1" s="51">
        <f>6.28*$D$11/$D$7*SQRT($D$6*$D$8/$D$6)*(1/3-$D$13/$D$11+($D$13/$D$11)^2)-LN(SIN(RADIANS(180*$D$10/$D$7)))-0.5*LN($D$11/$D$7*SQRT($D$6*$D$8/$D$6))-1.088</f>
        <v>5.806261314641695</v>
      </c>
      <c r="AF1" s="51">
        <f>$D$11/SQRT($D$6)</f>
        <v>500</v>
      </c>
      <c r="AG1" s="51">
        <f>$D$12/SQRT($D$6)</f>
        <v>1000</v>
      </c>
      <c r="AI1" s="62">
        <f>$D$13</f>
        <v>250</v>
      </c>
      <c r="AL1" s="51">
        <f>IF(AL3&gt;=AM3,1,0)</f>
        <v>1</v>
      </c>
    </row>
    <row r="2" spans="1:43" ht="15" customHeight="1">
      <c r="A2" s="29"/>
      <c r="B2" s="30" t="s">
        <v>36</v>
      </c>
      <c r="C2" s="16"/>
      <c r="D2" s="57"/>
      <c r="E2" s="57"/>
      <c r="F2" s="16"/>
      <c r="G2" s="16"/>
      <c r="H2" s="58"/>
      <c r="I2" s="58"/>
      <c r="J2" s="55"/>
      <c r="K2" s="16"/>
      <c r="L2" s="16"/>
      <c r="M2" s="16"/>
      <c r="N2" s="16"/>
      <c r="O2" s="16"/>
      <c r="P2" s="16"/>
      <c r="Q2" s="16"/>
      <c r="R2" s="16"/>
      <c r="S2" s="31"/>
      <c r="AC2" s="61" t="s">
        <v>44</v>
      </c>
      <c r="AD2" s="51">
        <f>IF(D9=D12,0,AN20)</f>
        <v>56.106806536969614</v>
      </c>
      <c r="AF2" s="51">
        <f>0.7*$D$12/SQRT($D$6)</f>
        <v>700</v>
      </c>
      <c r="AG2" s="51">
        <f>1.25*$D$11/SQRT($D$6)</f>
        <v>625</v>
      </c>
      <c r="AI2" s="62">
        <f>$D$11-$D$13</f>
        <v>250</v>
      </c>
    </row>
    <row r="3" spans="1:43" ht="15" customHeight="1">
      <c r="A3" s="29"/>
      <c r="B3" s="32" t="s">
        <v>37</v>
      </c>
      <c r="C3" s="16"/>
      <c r="D3" s="16"/>
      <c r="E3" s="16"/>
      <c r="F3" s="16"/>
      <c r="G3" s="16"/>
      <c r="H3" s="58"/>
      <c r="I3" s="16"/>
      <c r="J3" s="55"/>
      <c r="K3" s="16"/>
      <c r="L3" s="16"/>
      <c r="M3" s="16"/>
      <c r="N3" s="16"/>
      <c r="O3" s="16"/>
      <c r="P3" s="16"/>
      <c r="Q3" s="16"/>
      <c r="R3" s="16"/>
      <c r="S3" s="31"/>
      <c r="AC3" s="61"/>
      <c r="AF3" s="51">
        <f>0.75*$D$7/SQRT($D$6*$D$8)</f>
        <v>23.717082451262844</v>
      </c>
      <c r="AG3" s="51">
        <f>$D$7/SQRT($D$6*$D$8)</f>
        <v>31.622776601683793</v>
      </c>
      <c r="AI3" s="62">
        <f>MIN($AI$1:$AI$2)</f>
        <v>250</v>
      </c>
      <c r="AL3" s="51">
        <f>MIN(AL4:AL5)</f>
        <v>250</v>
      </c>
      <c r="AM3" s="51">
        <f>0.25*D11</f>
        <v>125</v>
      </c>
    </row>
    <row r="4" spans="1:43" ht="15" customHeight="1" thickBot="1">
      <c r="A4" s="29"/>
      <c r="B4" s="16"/>
      <c r="C4" s="16"/>
      <c r="D4" s="16"/>
      <c r="E4" s="16"/>
      <c r="F4" s="16"/>
      <c r="G4" s="16"/>
      <c r="H4" s="55"/>
      <c r="I4" s="55"/>
      <c r="J4" s="55"/>
      <c r="K4" s="16"/>
      <c r="L4" s="16"/>
      <c r="M4" s="16"/>
      <c r="N4" s="16"/>
      <c r="O4" s="16"/>
      <c r="P4" s="16"/>
      <c r="Q4" s="16"/>
      <c r="R4" s="16"/>
      <c r="S4" s="31"/>
      <c r="AD4" s="51">
        <f>IF(B23="*входные параметры неверны",1,0)</f>
        <v>0</v>
      </c>
      <c r="AI4" s="62">
        <f>$D$11</f>
        <v>500</v>
      </c>
      <c r="AJ4" s="51">
        <f>0.75*$D$7*SQRT($D$6/($D$6*$D$8))</f>
        <v>23.717082451262847</v>
      </c>
      <c r="AL4" s="62">
        <f>D13</f>
        <v>250</v>
      </c>
    </row>
    <row r="5" spans="1:43" ht="15" customHeight="1">
      <c r="A5" s="29"/>
      <c r="B5" s="1" t="s">
        <v>4</v>
      </c>
      <c r="C5" s="2" t="s">
        <v>6</v>
      </c>
      <c r="D5" s="11">
        <v>0.1</v>
      </c>
      <c r="E5" s="3" t="s">
        <v>2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31"/>
      <c r="AL5" s="62">
        <f>D11-D13</f>
        <v>250</v>
      </c>
    </row>
    <row r="6" spans="1:43" ht="15" customHeight="1">
      <c r="A6" s="29"/>
      <c r="B6" s="7" t="s">
        <v>13</v>
      </c>
      <c r="C6" s="8" t="s">
        <v>22</v>
      </c>
      <c r="D6" s="13">
        <v>1</v>
      </c>
      <c r="E6" s="9" t="s">
        <v>8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31"/>
      <c r="AI6" s="51">
        <f>IF($AI$3&gt;=$AJ$4,1,0)</f>
        <v>1</v>
      </c>
      <c r="AJ6" s="51">
        <f>IF($AI$4&gt;=$AJ$4,1,0)</f>
        <v>1</v>
      </c>
    </row>
    <row r="7" spans="1:43" ht="15" customHeight="1">
      <c r="A7" s="29"/>
      <c r="B7" s="4" t="s">
        <v>0</v>
      </c>
      <c r="C7" s="5" t="s">
        <v>3</v>
      </c>
      <c r="D7" s="12">
        <v>10</v>
      </c>
      <c r="E7" s="6" t="s">
        <v>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31"/>
    </row>
    <row r="8" spans="1:43" ht="15" customHeight="1">
      <c r="A8" s="29"/>
      <c r="B8" s="7" t="s">
        <v>5</v>
      </c>
      <c r="C8" s="17" t="s">
        <v>7</v>
      </c>
      <c r="D8" s="18">
        <v>0.1</v>
      </c>
      <c r="E8" s="19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31"/>
    </row>
    <row r="9" spans="1:43" ht="15" customHeight="1">
      <c r="A9" s="29"/>
      <c r="B9" s="44" t="s">
        <v>12</v>
      </c>
      <c r="C9" s="5" t="s">
        <v>1</v>
      </c>
      <c r="D9" s="12">
        <v>300</v>
      </c>
      <c r="E9" s="6" t="s">
        <v>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1"/>
    </row>
    <row r="10" spans="1:43" ht="15" customHeight="1">
      <c r="A10" s="29"/>
      <c r="B10" s="7" t="s">
        <v>23</v>
      </c>
      <c r="C10" s="47" t="s">
        <v>29</v>
      </c>
      <c r="D10" s="59">
        <f>D7/2</f>
        <v>5</v>
      </c>
      <c r="E10" s="9" t="s">
        <v>2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31"/>
      <c r="AD10" s="62"/>
    </row>
    <row r="11" spans="1:43" ht="15" customHeight="1">
      <c r="A11" s="29"/>
      <c r="B11" s="37" t="s">
        <v>33</v>
      </c>
      <c r="C11" s="53" t="s">
        <v>24</v>
      </c>
      <c r="D11" s="60">
        <v>500</v>
      </c>
      <c r="E11" s="19" t="s">
        <v>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31"/>
    </row>
    <row r="12" spans="1:43" ht="15" customHeight="1">
      <c r="A12" s="29"/>
      <c r="B12" s="37" t="s">
        <v>34</v>
      </c>
      <c r="C12" s="53" t="s">
        <v>25</v>
      </c>
      <c r="D12" s="60">
        <v>1000</v>
      </c>
      <c r="E12" s="19" t="s">
        <v>2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31"/>
    </row>
    <row r="13" spans="1:43" ht="15" customHeight="1">
      <c r="A13" s="29"/>
      <c r="B13" s="37" t="s">
        <v>28</v>
      </c>
      <c r="C13" s="38" t="s">
        <v>30</v>
      </c>
      <c r="D13" s="39">
        <f>D11/2</f>
        <v>250</v>
      </c>
      <c r="E13" s="48" t="s">
        <v>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31"/>
    </row>
    <row r="14" spans="1:43" ht="15" customHeight="1">
      <c r="A14" s="29"/>
      <c r="B14" s="67" t="s">
        <v>35</v>
      </c>
      <c r="C14" s="38" t="s">
        <v>31</v>
      </c>
      <c r="D14" s="39">
        <f>($D$12-$D$9)/2</f>
        <v>350</v>
      </c>
      <c r="E14" s="48" t="s">
        <v>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31"/>
      <c r="AJ14" s="56"/>
      <c r="AK14" s="56"/>
      <c r="AL14" s="56"/>
      <c r="AM14" s="63" t="s">
        <v>39</v>
      </c>
      <c r="AN14" s="63" t="s">
        <v>40</v>
      </c>
      <c r="AO14" s="56"/>
      <c r="AP14" s="56" t="s">
        <v>42</v>
      </c>
      <c r="AQ14" s="56"/>
    </row>
    <row r="15" spans="1:43" ht="15" customHeight="1">
      <c r="A15" s="29"/>
      <c r="B15" s="68"/>
      <c r="C15" s="38" t="s">
        <v>32</v>
      </c>
      <c r="D15" s="39">
        <f>D14+D9</f>
        <v>650</v>
      </c>
      <c r="E15" s="48" t="s">
        <v>2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31"/>
      <c r="AJ15" s="56"/>
      <c r="AK15" s="56"/>
      <c r="AL15" s="56"/>
      <c r="AM15" s="63">
        <f>IF($AF$1&gt;=$AF$2,1,0)</f>
        <v>0</v>
      </c>
      <c r="AN15" s="63">
        <f>IF($AG$1&gt;$AG$2,1,0)</f>
        <v>1</v>
      </c>
      <c r="AO15" s="56"/>
      <c r="AP15" s="64">
        <f>MIN(D13,D11-D13)</f>
        <v>250</v>
      </c>
      <c r="AQ15" s="56"/>
    </row>
    <row r="16" spans="1:43" ht="15" customHeight="1">
      <c r="A16" s="29"/>
      <c r="B16" s="7" t="s">
        <v>19</v>
      </c>
      <c r="C16" s="38" t="s">
        <v>9</v>
      </c>
      <c r="D16" s="18">
        <v>1</v>
      </c>
      <c r="E16" s="19" t="s">
        <v>10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31"/>
      <c r="AJ16" s="56"/>
      <c r="AK16" s="56"/>
      <c r="AL16" s="56"/>
      <c r="AM16" s="63">
        <f>IF($AF$2&gt;=$AF$3*10,1,0)</f>
        <v>1</v>
      </c>
      <c r="AN16" s="63">
        <f>IF($AG$2&gt;=$AG$3*10,1,0)</f>
        <v>1</v>
      </c>
      <c r="AO16" s="56"/>
      <c r="AP16" s="56"/>
      <c r="AQ16" s="56"/>
    </row>
    <row r="17" spans="1:43" ht="15" customHeight="1">
      <c r="A17" s="29"/>
      <c r="B17" s="7" t="s">
        <v>20</v>
      </c>
      <c r="C17" s="17" t="s">
        <v>21</v>
      </c>
      <c r="D17" s="18">
        <v>1</v>
      </c>
      <c r="E17" s="19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31"/>
      <c r="AJ17" s="56"/>
      <c r="AK17" s="56"/>
      <c r="AL17" s="56"/>
      <c r="AM17" s="63">
        <f>IF(SUM(AM15:AM16)=2,1,0)</f>
        <v>0</v>
      </c>
      <c r="AN17" s="63">
        <f>IF(SUM(AN15:AN16)=2,1,0)</f>
        <v>1</v>
      </c>
      <c r="AO17" s="56"/>
      <c r="AP17" s="56"/>
      <c r="AQ17" s="56"/>
    </row>
    <row r="18" spans="1:43" ht="15" customHeight="1">
      <c r="A18" s="29"/>
      <c r="B18" s="7" t="s">
        <v>15</v>
      </c>
      <c r="C18" s="17" t="s">
        <v>16</v>
      </c>
      <c r="D18" s="18">
        <v>66</v>
      </c>
      <c r="E18" s="19" t="s">
        <v>18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1"/>
      <c r="AJ18" s="65" t="s">
        <v>45</v>
      </c>
      <c r="AK18" s="56">
        <f>IF(AP15&gt;=0.25*D11,(D12/D9-1)*(6.28*D11/D7*SQRT(D8))*(1/3-D13/D11+(D13/D11)^2),0)</f>
        <v>19.307461936250267</v>
      </c>
      <c r="AL18" s="56"/>
      <c r="AM18" s="56">
        <f>AK20+AK21</f>
        <v>65.417301557828281</v>
      </c>
      <c r="AN18" s="56">
        <f>AK19+AK18+AK21</f>
        <v>46.796311516110947</v>
      </c>
      <c r="AO18" s="56"/>
      <c r="AP18" s="56"/>
      <c r="AQ18" s="56"/>
    </row>
    <row r="19" spans="1:43" ht="15" customHeight="1">
      <c r="A19" s="29"/>
      <c r="B19" s="52" t="s">
        <v>38</v>
      </c>
      <c r="C19" s="20" t="s">
        <v>17</v>
      </c>
      <c r="D19" s="21">
        <v>200</v>
      </c>
      <c r="E19" s="22" t="s">
        <v>18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31"/>
      <c r="AJ19" s="65" t="s">
        <v>46</v>
      </c>
      <c r="AK19" s="56">
        <f>6.28*D12^2/D11/D7*SQRT(D6*D6*D8)/D6*(1/3-AK23/D12+(AK23/D12)^2+D9/24/D12*(D9/D12-3))</f>
        <v>19.693611174975267</v>
      </c>
      <c r="AL19" s="56"/>
      <c r="AM19" s="56"/>
      <c r="AN19" s="56"/>
      <c r="AO19" s="56"/>
      <c r="AP19" s="56"/>
      <c r="AQ19" s="56"/>
    </row>
    <row r="20" spans="1:43" ht="15" customHeight="1" thickBot="1">
      <c r="A20" s="29"/>
      <c r="B20" s="45" t="s">
        <v>26</v>
      </c>
      <c r="C20" s="46" t="s">
        <v>27</v>
      </c>
      <c r="D20" s="14">
        <v>0</v>
      </c>
      <c r="E20" s="1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31"/>
      <c r="AJ20" s="66" t="s">
        <v>47</v>
      </c>
      <c r="AK20" s="56">
        <f>2*$D$12^2/$D$9/$D$7*SQRT($D$6*$D$8/$D$6)*($AK$27+0.5*($AK$28-$AK$29))</f>
        <v>57.622063152942872</v>
      </c>
      <c r="AL20" s="56"/>
      <c r="AM20" s="65" t="s">
        <v>44</v>
      </c>
      <c r="AN20" s="56">
        <f>IF(AND(AN17=1,AN18),(AM18+AN18)/2,IF(AN17=1,AN18,IF(AM17=1,AM18,-1000000)))</f>
        <v>56.106806536969614</v>
      </c>
      <c r="AO20" s="56"/>
      <c r="AP20" s="56"/>
      <c r="AQ20" s="56"/>
    </row>
    <row r="21" spans="1:43" ht="15" customHeight="1">
      <c r="A21" s="29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31"/>
      <c r="AJ21" s="65" t="s">
        <v>48</v>
      </c>
      <c r="AK21" s="56">
        <f>($D$12/$D$9-1)*(LN($D$7/$D$5)+0.25*LN($D$6/($D$6*$D$8))-LN(SIN(RADIANS(180*$D$10/$D$7)))-1.84)</f>
        <v>7.7952384048854091</v>
      </c>
      <c r="AL21" s="56"/>
      <c r="AM21" s="56"/>
      <c r="AN21" s="56"/>
      <c r="AO21" s="56"/>
      <c r="AP21" s="56"/>
      <c r="AQ21" s="56"/>
    </row>
    <row r="22" spans="1:43" ht="15" customHeight="1" thickBot="1">
      <c r="A22" s="29"/>
      <c r="B22" s="23" t="s">
        <v>54</v>
      </c>
      <c r="C22" s="24" t="s">
        <v>14</v>
      </c>
      <c r="D22" s="50">
        <f>IF($AD$2=0,0,$D$12*($D$6*$D$6*$D$8)^0.5*($D$19-$D$18)/18.41/$D$16/$D$17*(LN(SQRT($D$11*$D$7)/$D$5)+$AD$1-0.75+$AD$2+$D$20)^(-1))</f>
        <v>33.986528661576472</v>
      </c>
      <c r="E22" s="25" t="s">
        <v>11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1"/>
      <c r="AJ22" s="56"/>
      <c r="AK22" s="56"/>
      <c r="AL22" s="56"/>
      <c r="AM22" s="56"/>
      <c r="AN22" s="56"/>
      <c r="AO22" s="56"/>
      <c r="AP22" s="56"/>
      <c r="AQ22" s="56"/>
    </row>
    <row r="23" spans="1:43" ht="15" customHeight="1" thickBot="1">
      <c r="A23" s="33"/>
      <c r="B23" s="49" t="str">
        <f>IF(AN20=-1000000,"*результаты расчета заданной модели некорректны",IF(OR(AD2=0,D12&lt;D9,D15&gt;D12,D14&gt;D15,D14&gt;D12,D13&gt;D11,D10&gt;D7),"*входные параметры неверны",""))</f>
        <v/>
      </c>
      <c r="C23" s="34"/>
      <c r="D23" s="36"/>
      <c r="E23" s="36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AJ23" s="65" t="s">
        <v>49</v>
      </c>
      <c r="AK23" s="56">
        <f>(D14+D15)/2</f>
        <v>500</v>
      </c>
      <c r="AL23" s="56"/>
      <c r="AM23" s="56"/>
      <c r="AN23" s="56"/>
      <c r="AO23" s="56"/>
      <c r="AP23" s="56"/>
      <c r="AQ23" s="56"/>
    </row>
    <row r="24" spans="1:43">
      <c r="A24" s="40"/>
      <c r="B24" s="41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AG24" s="62">
        <f>$D$12</f>
        <v>1000</v>
      </c>
      <c r="AJ24" s="65"/>
      <c r="AK24" s="56"/>
      <c r="AL24" s="56"/>
      <c r="AM24" s="56"/>
      <c r="AN24" s="56"/>
      <c r="AO24" s="56"/>
      <c r="AP24" s="56"/>
      <c r="AQ24" s="56"/>
    </row>
    <row r="25" spans="1:43" ht="15.7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AE25" s="51">
        <v>0</v>
      </c>
      <c r="AF25" s="51">
        <v>0</v>
      </c>
      <c r="AG25" s="62">
        <f>$D$12</f>
        <v>1000</v>
      </c>
      <c r="AJ25" s="65" t="s">
        <v>50</v>
      </c>
      <c r="AK25" s="56">
        <f>(4*AK23+D9)/2/D12</f>
        <v>1.1499999999999999</v>
      </c>
      <c r="AL25" s="56"/>
      <c r="AM25" s="56"/>
      <c r="AN25" s="56"/>
      <c r="AO25" s="56"/>
      <c r="AP25" s="56"/>
      <c r="AQ25" s="56"/>
    </row>
    <row r="26" spans="1:43" ht="15.75">
      <c r="A26" s="40"/>
      <c r="B26" s="40"/>
      <c r="C26" s="40"/>
      <c r="D26" s="42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AE26" s="62">
        <f>$D$12</f>
        <v>1000</v>
      </c>
      <c r="AF26" s="51">
        <v>0</v>
      </c>
      <c r="AG26" s="51">
        <v>0</v>
      </c>
      <c r="AJ26" s="65" t="s">
        <v>51</v>
      </c>
      <c r="AK26" s="56">
        <f>(4*AK23-D9)/2/D12</f>
        <v>0.85</v>
      </c>
      <c r="AL26" s="56"/>
      <c r="AM26" s="56"/>
      <c r="AN26" s="56"/>
      <c r="AO26" s="56"/>
      <c r="AP26" s="56"/>
      <c r="AQ26" s="56"/>
    </row>
    <row r="27" spans="1:4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AE27" s="51">
        <v>0</v>
      </c>
      <c r="AF27" s="51">
        <v>0</v>
      </c>
      <c r="AJ27" s="65" t="s">
        <v>41</v>
      </c>
      <c r="AK27" s="56">
        <f>-(D9/2/D12)*(0.145+LN(D9/2/D12)-0.137*(D9/2/D12)^2)</f>
        <v>0.26328037273288218</v>
      </c>
      <c r="AL27" s="56"/>
      <c r="AM27" s="56"/>
      <c r="AN27" s="56"/>
      <c r="AO27" s="56"/>
      <c r="AP27" s="56"/>
      <c r="AQ27" s="56"/>
    </row>
    <row r="28" spans="1:43" ht="15.7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AE28" s="62">
        <f>$D$11</f>
        <v>500</v>
      </c>
      <c r="AF28" s="51">
        <v>0</v>
      </c>
      <c r="AJ28" s="65" t="s">
        <v>52</v>
      </c>
      <c r="AK28" s="56">
        <f>IF(AK25&lt;=1,-(AK26)*(0.145+LN(AK26)-0.137*(AK26)^2),(2-AK25)*(0.145+LN(2-AK25)-0.137*(2-AK25)^2))</f>
        <v>-9.9026215073108617E-2</v>
      </c>
      <c r="AL28" s="56"/>
      <c r="AM28" s="56"/>
      <c r="AN28" s="56"/>
      <c r="AO28" s="56"/>
      <c r="AP28" s="56"/>
      <c r="AQ28" s="56"/>
    </row>
    <row r="29" spans="1:43" ht="15.7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AE29" s="62">
        <f>$D$11</f>
        <v>500</v>
      </c>
      <c r="AJ29" s="65" t="s">
        <v>53</v>
      </c>
      <c r="AK29" s="56">
        <f>IF(AK26&lt;=1,-(AK25)*(0.145+LN(AK25)-0.137*(AK25)^2),(2-AK26)*(0.145+LN(2-AK26)-0.137*(2-AK26)^2))</f>
        <v>-0.11911635873143241</v>
      </c>
      <c r="AL29" s="56"/>
      <c r="AM29" s="56"/>
      <c r="AN29" s="56"/>
      <c r="AO29" s="56"/>
      <c r="AP29" s="56"/>
      <c r="AQ29" s="56"/>
    </row>
    <row r="30" spans="1:4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AJ30" s="65"/>
      <c r="AK30" s="56"/>
      <c r="AL30" s="56"/>
      <c r="AM30" s="56"/>
      <c r="AN30" s="56"/>
      <c r="AO30" s="56"/>
      <c r="AP30" s="56"/>
      <c r="AQ30" s="56"/>
    </row>
    <row r="31" spans="1:4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AJ31" s="56"/>
      <c r="AK31" s="56"/>
      <c r="AL31" s="56"/>
      <c r="AM31" s="56"/>
      <c r="AN31" s="56"/>
      <c r="AO31" s="56"/>
      <c r="AP31" s="56"/>
      <c r="AQ31" s="56"/>
    </row>
    <row r="32" spans="1:43">
      <c r="A32" s="40"/>
      <c r="B32" s="43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AE32" s="62">
        <f>$D$13</f>
        <v>250</v>
      </c>
      <c r="AF32" s="62">
        <f>$D$14</f>
        <v>350</v>
      </c>
      <c r="AJ32" s="56"/>
      <c r="AK32" s="56"/>
      <c r="AL32" s="56"/>
      <c r="AM32" s="56"/>
      <c r="AN32" s="56"/>
      <c r="AO32" s="56"/>
      <c r="AP32" s="56"/>
      <c r="AQ32" s="56"/>
    </row>
    <row r="33" spans="1:4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AE33" s="62">
        <f>$D$13</f>
        <v>250</v>
      </c>
      <c r="AF33" s="62">
        <f>$D$15</f>
        <v>650</v>
      </c>
      <c r="AJ33" s="56"/>
      <c r="AK33" s="56"/>
      <c r="AL33" s="56"/>
      <c r="AM33" s="56"/>
      <c r="AN33" s="56"/>
      <c r="AO33" s="56"/>
      <c r="AP33" s="56"/>
      <c r="AQ33" s="56"/>
    </row>
    <row r="34" spans="1:4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AJ34" s="56"/>
      <c r="AK34" s="56"/>
      <c r="AL34" s="56"/>
      <c r="AM34" s="56"/>
      <c r="AN34" s="56"/>
      <c r="AO34" s="56"/>
      <c r="AP34" s="56"/>
      <c r="AQ34" s="56"/>
    </row>
    <row r="35" spans="1:4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AJ35" s="56"/>
      <c r="AK35" s="56"/>
      <c r="AL35" s="56"/>
      <c r="AM35" s="56"/>
      <c r="AN35" s="56"/>
      <c r="AO35" s="56"/>
      <c r="AP35" s="56"/>
      <c r="AQ35" s="56"/>
    </row>
    <row r="36" spans="1:4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AJ36" s="56"/>
      <c r="AK36" s="56"/>
      <c r="AL36" s="56"/>
      <c r="AM36" s="56"/>
      <c r="AN36" s="56"/>
      <c r="AO36" s="56"/>
      <c r="AP36" s="56"/>
      <c r="AQ36" s="56"/>
    </row>
    <row r="37" spans="1:4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AD37" s="51">
        <f>(D12-D9)/2</f>
        <v>350</v>
      </c>
      <c r="AJ37" s="56"/>
      <c r="AK37" s="56"/>
      <c r="AL37" s="56"/>
      <c r="AM37" s="56"/>
      <c r="AN37" s="56"/>
      <c r="AO37" s="56"/>
      <c r="AP37" s="56"/>
      <c r="AQ37" s="56"/>
    </row>
    <row r="38" spans="1:4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AJ38" s="56"/>
      <c r="AK38" s="56"/>
      <c r="AL38" s="56"/>
      <c r="AM38" s="56"/>
      <c r="AN38" s="56"/>
      <c r="AO38" s="56"/>
      <c r="AP38" s="56"/>
      <c r="AQ38" s="56"/>
    </row>
    <row r="39" spans="1:4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AJ39" s="56"/>
      <c r="AK39" s="56"/>
      <c r="AL39" s="56"/>
      <c r="AM39" s="56"/>
      <c r="AN39" s="56"/>
      <c r="AO39" s="56"/>
      <c r="AP39" s="56"/>
      <c r="AQ39" s="56"/>
    </row>
    <row r="40" spans="1:4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AJ40" s="56"/>
      <c r="AK40" s="56"/>
      <c r="AL40" s="56"/>
      <c r="AM40" s="56"/>
      <c r="AN40" s="56"/>
      <c r="AO40" s="56"/>
      <c r="AP40" s="56"/>
      <c r="AQ40" s="56"/>
    </row>
    <row r="41" spans="1:4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AJ41" s="56"/>
      <c r="AK41" s="56"/>
      <c r="AL41" s="56"/>
      <c r="AM41" s="56"/>
      <c r="AN41" s="56"/>
      <c r="AO41" s="56"/>
      <c r="AP41" s="56"/>
      <c r="AQ41" s="56"/>
    </row>
    <row r="42" spans="1:4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AJ42" s="56"/>
      <c r="AK42" s="56"/>
      <c r="AL42" s="56"/>
      <c r="AM42" s="56"/>
      <c r="AN42" s="56"/>
      <c r="AO42" s="56"/>
      <c r="AP42" s="56"/>
      <c r="AQ42" s="56"/>
    </row>
    <row r="43" spans="1:43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AJ43" s="56"/>
      <c r="AK43" s="56"/>
      <c r="AL43" s="56"/>
      <c r="AM43" s="56"/>
      <c r="AN43" s="56"/>
      <c r="AO43" s="56"/>
      <c r="AP43" s="56"/>
      <c r="AQ43" s="56"/>
    </row>
    <row r="44" spans="1:4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AJ44" s="56"/>
      <c r="AK44" s="56"/>
      <c r="AL44" s="56"/>
      <c r="AM44" s="56"/>
      <c r="AN44" s="56"/>
      <c r="AO44" s="56"/>
      <c r="AP44" s="56"/>
      <c r="AQ44" s="56"/>
    </row>
    <row r="45" spans="1:4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AJ45" s="56"/>
      <c r="AK45" s="56"/>
      <c r="AL45" s="56"/>
      <c r="AM45" s="56"/>
      <c r="AN45" s="56"/>
      <c r="AO45" s="56"/>
      <c r="AP45" s="56"/>
      <c r="AQ45" s="56"/>
    </row>
    <row r="46" spans="1:4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AJ46" s="56"/>
      <c r="AK46" s="56"/>
      <c r="AL46" s="56"/>
      <c r="AM46" s="56"/>
      <c r="AN46" s="56"/>
      <c r="AO46" s="56"/>
      <c r="AP46" s="56"/>
      <c r="AQ46" s="56"/>
    </row>
    <row r="47" spans="1:4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AJ47" s="56"/>
      <c r="AK47" s="56"/>
      <c r="AL47" s="56"/>
      <c r="AM47" s="56"/>
      <c r="AN47" s="56"/>
      <c r="AO47" s="56"/>
      <c r="AP47" s="56"/>
      <c r="AQ47" s="56"/>
    </row>
    <row r="48" spans="1:4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</row>
  </sheetData>
  <mergeCells count="1">
    <mergeCell ref="B14:B15"/>
  </mergeCells>
  <conditionalFormatting sqref="D10">
    <cfRule type="cellIs" dxfId="1" priority="2" stopIfTrue="1" operator="greaterThanOrEqual">
      <formula>$D$7</formula>
    </cfRule>
  </conditionalFormatting>
  <conditionalFormatting sqref="D22">
    <cfRule type="expression" dxfId="0" priority="1" stopIfTrue="1">
      <formula>$AD$4=1</formula>
    </cfRule>
  </conditionalFormatting>
  <pageMargins left="0.75" right="0.75" top="1" bottom="1" header="0.5" footer="0.5"/>
  <pageSetup paperSize="9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Horizontal Well (Babu&amp;Ode)</vt:lpstr>
    </vt:vector>
  </TitlesOfParts>
  <Company>Rosneft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 Андрей Станиславович</dc:creator>
  <cp:lastModifiedBy>Posohin-AA</cp:lastModifiedBy>
  <dcterms:created xsi:type="dcterms:W3CDTF">2009-02-18T10:47:50Z</dcterms:created>
  <dcterms:modified xsi:type="dcterms:W3CDTF">2015-12-04T07:15:52Z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-530648403</vt:i4>
  </property>
  <property fmtid="{D5CDD505-2E9C-101B-9397-08002B2CF9AE}" pid="3" name="_NewReviewCycle">
    <vt:lpwstr/>
  </property>
  <property fmtid="{D5CDD505-2E9C-101B-9397-08002B2CF9AE}" pid="4" name="_EmailSubject">
    <vt:lpwstr>HMLWprod_0.1.xls</vt:lpwstr>
  </property>
  <property fmtid="{D5CDD505-2E9C-101B-9397-08002B2CF9AE}" pid="5" name="_AuthorEmail">
    <vt:lpwstr>t_musabirov@rosneft.ru</vt:lpwstr>
  </property>
  <property fmtid="{D5CDD505-2E9C-101B-9397-08002B2CF9AE}" pid="6" name="_AuthorEmailDisplayName">
    <vt:lpwstr>Мусабиров Тимур Равилевич</vt:lpwstr>
  </property>
  <property fmtid="{D5CDD505-2E9C-101B-9397-08002B2CF9AE}" pid="7" name="_ReviewingToolsShownOnce">
    <vt:lpwstr/>
  </property>
</Properties>
</file>