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9995" windowHeight="14550" activeTab="0"/>
  </bookViews>
  <sheets>
    <sheet name="Horizontal Well (Babu&amp;Ode)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vakrasnov</author>
  </authors>
  <commentList>
    <comment ref="B6" authorId="0">
      <text>
        <r>
          <rPr>
            <b/>
            <sz val="8"/>
            <rFont val="Tahoma"/>
            <family val="2"/>
          </rPr>
          <t>Kx=Ky</t>
        </r>
      </text>
    </comment>
  </commentList>
</comments>
</file>

<file path=xl/sharedStrings.xml><?xml version="1.0" encoding="utf-8"?>
<sst xmlns="http://schemas.openxmlformats.org/spreadsheetml/2006/main" count="66" uniqueCount="56">
  <si>
    <t>Мощность пласта</t>
  </si>
  <si>
    <t>L</t>
  </si>
  <si>
    <t>м</t>
  </si>
  <si>
    <t>h</t>
  </si>
  <si>
    <t>Радиус скважины</t>
  </si>
  <si>
    <t>Коэффициент анизотропии проницаемостей</t>
  </si>
  <si>
    <r>
      <t>r</t>
    </r>
    <r>
      <rPr>
        <vertAlign val="subscript"/>
        <sz val="10"/>
        <rFont val="Arial"/>
        <family val="2"/>
      </rPr>
      <t>w</t>
    </r>
  </si>
  <si>
    <r>
      <t>k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/ k</t>
    </r>
    <r>
      <rPr>
        <vertAlign val="subscript"/>
        <sz val="10"/>
        <rFont val="Arial"/>
        <family val="2"/>
      </rPr>
      <t>H</t>
    </r>
  </si>
  <si>
    <t>мД</t>
  </si>
  <si>
    <t>μ</t>
  </si>
  <si>
    <t>сП</t>
  </si>
  <si>
    <r>
      <t>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/сут</t>
    </r>
  </si>
  <si>
    <t>Длина горизонтального участка</t>
  </si>
  <si>
    <t>Горизонтальная проницаемость</t>
  </si>
  <si>
    <r>
      <t>Q</t>
    </r>
    <r>
      <rPr>
        <b/>
        <vertAlign val="subscript"/>
        <sz val="10"/>
        <rFont val="Arial"/>
        <family val="2"/>
      </rPr>
      <t>h</t>
    </r>
  </si>
  <si>
    <t>Забойное давление</t>
  </si>
  <si>
    <t>Pwf</t>
  </si>
  <si>
    <t>Pe</t>
  </si>
  <si>
    <t>атм</t>
  </si>
  <si>
    <t>Вязкость жидкости</t>
  </si>
  <si>
    <t>Объемный коэффициент</t>
  </si>
  <si>
    <t>B</t>
  </si>
  <si>
    <r>
      <t>k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 xml:space="preserve"> </t>
    </r>
  </si>
  <si>
    <t>Расстояние от подошвы пласта до ствола скважины</t>
  </si>
  <si>
    <t>a</t>
  </si>
  <si>
    <t>b</t>
  </si>
  <si>
    <t>Скин-фактор кольматации</t>
  </si>
  <si>
    <t>S</t>
  </si>
  <si>
    <r>
      <t xml:space="preserve">Координата положения ствола по оси </t>
    </r>
    <r>
      <rPr>
        <b/>
        <sz val="11"/>
        <rFont val="Arial"/>
        <family val="2"/>
      </rPr>
      <t>x</t>
    </r>
  </si>
  <si>
    <r>
      <t>Z</t>
    </r>
    <r>
      <rPr>
        <vertAlign val="subscript"/>
        <sz val="10"/>
        <rFont val="Arial"/>
        <family val="2"/>
      </rPr>
      <t>0</t>
    </r>
  </si>
  <si>
    <r>
      <t>x</t>
    </r>
    <r>
      <rPr>
        <vertAlign val="subscript"/>
        <sz val="10"/>
        <rFont val="Arial"/>
        <family val="2"/>
      </rPr>
      <t>0</t>
    </r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</si>
  <si>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</si>
  <si>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</si>
  <si>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r>
      <t xml:space="preserve">Длина стороны параллелепипеда по оси </t>
    </r>
    <r>
      <rPr>
        <b/>
        <sz val="11"/>
        <rFont val="Arial"/>
        <family val="2"/>
      </rPr>
      <t>x</t>
    </r>
    <r>
      <rPr>
        <sz val="10"/>
        <rFont val="Arial"/>
        <family val="2"/>
      </rPr>
      <t xml:space="preserve"> (поперек ГС)</t>
    </r>
  </si>
  <si>
    <r>
      <t xml:space="preserve">Длина стороны параллелепипеда по оси </t>
    </r>
    <r>
      <rPr>
        <b/>
        <sz val="11"/>
        <rFont val="Arial"/>
        <family val="2"/>
      </rPr>
      <t>y</t>
    </r>
    <r>
      <rPr>
        <sz val="10"/>
        <rFont val="Arial"/>
        <family val="2"/>
      </rPr>
      <t xml:space="preserve"> (вдоль ГС)</t>
    </r>
  </si>
  <si>
    <r>
      <t xml:space="preserve">Координаты положения ствола по оси </t>
    </r>
    <r>
      <rPr>
        <b/>
        <sz val="11"/>
        <rFont val="Arial"/>
        <family val="2"/>
      </rPr>
      <t>y</t>
    </r>
  </si>
  <si>
    <t>Horizontal Well Productivity calculation (Babu &amp; Odeh, 1989)</t>
  </si>
  <si>
    <t>Расчет продуктивности горизонатльной скважины на псевдоустановившемся режиме</t>
  </si>
  <si>
    <t>Давление средневзвешенное в зоне дренирования</t>
  </si>
  <si>
    <t>усл.1</t>
  </si>
  <si>
    <t>усл.2</t>
  </si>
  <si>
    <t>F(L/2b) =</t>
  </si>
  <si>
    <t>усл.мин.</t>
  </si>
  <si>
    <t>Дебит на псевдоустановившемся режиме</t>
  </si>
  <si>
    <r>
      <t>ln(C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) =</t>
    </r>
  </si>
  <si>
    <r>
      <t>S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</si>
  <si>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xy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</si>
  <si>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y</t>
    </r>
    <r>
      <rPr>
        <sz val="10"/>
        <rFont val="Arial"/>
        <family val="2"/>
      </rPr>
      <t xml:space="preserve"> =</t>
    </r>
  </si>
  <si>
    <r>
      <t>'P</t>
    </r>
    <r>
      <rPr>
        <vertAlign val="subscript"/>
        <sz val="10"/>
        <rFont val="Arial"/>
        <family val="2"/>
      </rPr>
      <t>xy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</si>
  <si>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xyz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</si>
  <si>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=</t>
    </r>
  </si>
  <si>
    <r>
      <t>(4y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+L)/2b =</t>
    </r>
  </si>
  <si>
    <r>
      <t>(4y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-L)/2b =</t>
    </r>
  </si>
  <si>
    <r>
      <t>F((4y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+L)/2b) =</t>
    </r>
  </si>
  <si>
    <r>
      <t>F((4y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-L)/2b) =</t>
    </r>
  </si>
  <si>
    <t>Скважина располагается вдоль b и Y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</si>
</sst>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5" borderId="0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25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1" fontId="0" fillId="36" borderId="14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0" fontId="48" fillId="35" borderId="27" xfId="0" applyFont="1" applyFill="1" applyBorder="1" applyAlignment="1">
      <alignment vertical="top"/>
    </xf>
    <xf numFmtId="2" fontId="9" fillId="33" borderId="17" xfId="0" applyNumberFormat="1" applyFont="1" applyFill="1" applyBorder="1" applyAlignment="1" quotePrefix="1">
      <alignment horizontal="center" vertical="center"/>
    </xf>
    <xf numFmtId="0" fontId="49" fillId="0" borderId="0" xfId="0" applyFont="1" applyFill="1" applyAlignment="1">
      <alignment/>
    </xf>
    <xf numFmtId="0" fontId="0" fillId="33" borderId="29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36" borderId="14" xfId="0" applyFill="1" applyBorder="1" applyAlignment="1">
      <alignment horizontal="center" vertical="center"/>
    </xf>
    <xf numFmtId="1" fontId="0" fillId="38" borderId="14" xfId="0" applyNumberForma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FF0000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5"/>
          <c:y val="-0.014"/>
          <c:w val="0.985"/>
          <c:h val="0.94875"/>
        </c:manualLayout>
      </c:layout>
      <c:scatterChart>
        <c:scatterStyle val="lineMarker"/>
        <c:varyColors val="0"/>
        <c:ser>
          <c:idx val="0"/>
          <c:order val="0"/>
          <c:tx>
            <c:v>a1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'Horizontal Well (Babu&amp;Ode)'!$AE$27:$AE$28</c:f>
              <c:numCache/>
            </c:numRef>
          </c:xVal>
          <c:yVal>
            <c:numRef>
              <c:f>'Horizontal Well (Babu&amp;Ode)'!$AF$27:$AF$28</c:f>
              <c:numCache/>
            </c:numRef>
          </c:y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'Horizontal Well (Babu&amp;Ode)'!$AF$25:$AF$26</c:f>
              <c:numCache/>
            </c:numRef>
          </c:xVal>
          <c:yVal>
            <c:numRef>
              <c:f>'Horizontal Well (Babu&amp;Ode)'!$AE$25:$AE$26</c:f>
              <c:numCache/>
            </c:numRef>
          </c:yVal>
          <c:smooth val="0"/>
        </c:ser>
        <c:ser>
          <c:idx val="2"/>
          <c:order val="2"/>
          <c:tx>
            <c:v>b2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'Horizontal Well (Babu&amp;Ode)'!$AE$28:$AE$29</c:f>
              <c:numCache/>
            </c:numRef>
          </c:xVal>
          <c:yVal>
            <c:numRef>
              <c:f>'Horizontal Well (Babu&amp;Ode)'!$AG$25:$AG$26</c:f>
              <c:numCache/>
            </c:numRef>
          </c:yVal>
          <c:smooth val="0"/>
        </c:ser>
        <c:ser>
          <c:idx val="3"/>
          <c:order val="3"/>
          <c:tx>
            <c:v>a2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'Horizontal Well (Babu&amp;Ode)'!$AE$27:$AE$28</c:f>
              <c:numCache/>
            </c:numRef>
          </c:xVal>
          <c:yVal>
            <c:numRef>
              <c:f>'Horizontal Well (Babu&amp;Ode)'!$AG$24:$AG$25</c:f>
              <c:numCache/>
            </c:numRef>
          </c:yVal>
          <c:smooth val="0"/>
        </c:ser>
        <c:ser>
          <c:idx val="4"/>
          <c:order val="4"/>
          <c:tx>
            <c:v>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'Horizontal Well (Babu&amp;Ode)'!$AE$32:$AE$33</c:f>
              <c:numCache/>
            </c:numRef>
          </c:xVal>
          <c:yVal>
            <c:numRef>
              <c:f>'Horizontal Well (Babu&amp;Ode)'!$AF$32:$AF$33</c:f>
              <c:numCache/>
            </c:numRef>
          </c:yVal>
          <c:smooth val="0"/>
        </c:ser>
        <c:ser>
          <c:idx val="5"/>
          <c:order val="5"/>
          <c:tx>
            <c:v>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'Horizontal Well (Babu&amp;Ode)'!$AE$27</c:f>
              <c:numCache/>
            </c:numRef>
          </c:xVal>
          <c:yVal>
            <c:numRef>
              <c:f>'Horizontal Well (Babu&amp;Ode)'!$AE$26</c:f>
              <c:numCache/>
            </c:numRef>
          </c:yVal>
          <c:smooth val="0"/>
        </c:ser>
        <c:ser>
          <c:idx val="6"/>
          <c:order val="6"/>
          <c:tx>
            <c:v>b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</c:dLbls>
          <c:xVal>
            <c:numRef>
              <c:f>'Horizontal Well (Babu&amp;Ode)'!$AE$28</c:f>
              <c:numCache/>
            </c:numRef>
          </c:xVal>
          <c:yVal>
            <c:numRef>
              <c:f>'Horizontal Well (Babu&amp;Ode)'!$AE$25</c:f>
              <c:numCache/>
            </c:numRef>
          </c:yVal>
          <c:smooth val="0"/>
        </c:ser>
        <c:axId val="37617652"/>
        <c:axId val="3014549"/>
      </c:scatterChart>
      <c:valAx>
        <c:axId val="37617652"/>
        <c:scaling>
          <c:orientation val="minMax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4549"/>
        <c:crosses val="autoZero"/>
        <c:crossBetween val="midCat"/>
        <c:dispUnits/>
      </c:valAx>
      <c:valAx>
        <c:axId val="3014549"/>
        <c:scaling>
          <c:orientation val="maxMin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176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Relationship Id="rId3" Type="http://schemas.openxmlformats.org/officeDocument/2006/relationships/image" Target="../media/image4.png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19050</xdr:rowOff>
    </xdr:from>
    <xdr:to>
      <xdr:col>15</xdr:col>
      <xdr:colOff>476250</xdr:colOff>
      <xdr:row>13</xdr:row>
      <xdr:rowOff>171450</xdr:rowOff>
    </xdr:to>
    <xdr:pic>
      <xdr:nvPicPr>
        <xdr:cNvPr id="1" name="Picture 9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781050"/>
          <a:ext cx="5495925" cy="18669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57150</xdr:colOff>
      <xdr:row>3</xdr:row>
      <xdr:rowOff>133350</xdr:rowOff>
    </xdr:from>
    <xdr:to>
      <xdr:col>11</xdr:col>
      <xdr:colOff>180975</xdr:colOff>
      <xdr:row>19</xdr:row>
      <xdr:rowOff>95250</xdr:rowOff>
    </xdr:to>
    <xdr:graphicFrame>
      <xdr:nvGraphicFramePr>
        <xdr:cNvPr id="2" name="Диаграмма 4"/>
        <xdr:cNvGraphicFramePr/>
      </xdr:nvGraphicFramePr>
      <xdr:xfrm>
        <a:off x="5676900" y="704850"/>
        <a:ext cx="27051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11</xdr:col>
      <xdr:colOff>257175</xdr:colOff>
      <xdr:row>4</xdr:row>
      <xdr:rowOff>114300</xdr:rowOff>
    </xdr:from>
    <xdr:to>
      <xdr:col>18</xdr:col>
      <xdr:colOff>514350</xdr:colOff>
      <xdr:row>17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876300"/>
          <a:ext cx="4524375" cy="246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438150</xdr:colOff>
      <xdr:row>11</xdr:row>
      <xdr:rowOff>171450</xdr:rowOff>
    </xdr:from>
    <xdr:to>
      <xdr:col>38</xdr:col>
      <xdr:colOff>9525</xdr:colOff>
      <xdr:row>16</xdr:row>
      <xdr:rowOff>85725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02600" y="2266950"/>
          <a:ext cx="4181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247650</xdr:colOff>
      <xdr:row>31</xdr:row>
      <xdr:rowOff>9525</xdr:rowOff>
    </xdr:from>
    <xdr:to>
      <xdr:col>42</xdr:col>
      <xdr:colOff>581025</xdr:colOff>
      <xdr:row>33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050500" y="5838825"/>
          <a:ext cx="4943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15</xdr:row>
      <xdr:rowOff>152400</xdr:rowOff>
    </xdr:from>
    <xdr:to>
      <xdr:col>12</xdr:col>
      <xdr:colOff>9525</xdr:colOff>
      <xdr:row>19</xdr:row>
      <xdr:rowOff>76200</xdr:rowOff>
    </xdr:to>
    <xdr:sp>
      <xdr:nvSpPr>
        <xdr:cNvPr id="6" name="Прямая со стрелкой 2"/>
        <xdr:cNvSpPr>
          <a:spLocks/>
        </xdr:cNvSpPr>
      </xdr:nvSpPr>
      <xdr:spPr>
        <a:xfrm flipH="1" flipV="1">
          <a:off x="7324725" y="3009900"/>
          <a:ext cx="1495425" cy="685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76200</xdr:rowOff>
    </xdr:from>
    <xdr:to>
      <xdr:col>9</xdr:col>
      <xdr:colOff>314325</xdr:colOff>
      <xdr:row>10</xdr:row>
      <xdr:rowOff>123825</xdr:rowOff>
    </xdr:to>
    <xdr:sp>
      <xdr:nvSpPr>
        <xdr:cNvPr id="7" name="Прямоугольник 3"/>
        <xdr:cNvSpPr>
          <a:spLocks/>
        </xdr:cNvSpPr>
      </xdr:nvSpPr>
      <xdr:spPr>
        <a:xfrm>
          <a:off x="6562725" y="1981200"/>
          <a:ext cx="781050" cy="47625"/>
        </a:xfrm>
        <a:prstGeom prst="rect">
          <a:avLst/>
        </a:prstGeom>
        <a:solidFill>
          <a:srgbClr val="66FF66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add-ins\Add-In%20Mgr%202007-2013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md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R67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2.8515625" style="15" customWidth="1"/>
    <col min="2" max="2" width="49.28125" style="15" customWidth="1"/>
    <col min="3" max="3" width="9.140625" style="15" customWidth="1"/>
    <col min="4" max="4" width="11.00390625" style="15" customWidth="1"/>
    <col min="5" max="5" width="9.140625" style="15" customWidth="1"/>
    <col min="6" max="7" width="2.8515625" style="15" customWidth="1"/>
    <col min="8" max="9" width="9.140625" style="15" customWidth="1"/>
    <col min="10" max="10" width="8.421875" style="15" customWidth="1"/>
    <col min="11" max="19" width="9.140625" style="15" customWidth="1"/>
    <col min="20" max="27" width="9.140625" style="40" customWidth="1"/>
    <col min="28" max="28" width="9.140625" style="49" customWidth="1"/>
    <col min="29" max="29" width="8.7109375" style="49" customWidth="1"/>
    <col min="30" max="35" width="9.140625" style="49" customWidth="1"/>
    <col min="36" max="36" width="14.28125" style="49" customWidth="1"/>
    <col min="37" max="43" width="9.140625" style="49" customWidth="1"/>
    <col min="44" max="49" width="9.140625" style="40" customWidth="1"/>
    <col min="50" max="16384" width="9.140625" style="15" customWidth="1"/>
  </cols>
  <sheetData>
    <row r="1" spans="1:43" ht="15" customHeight="1">
      <c r="A1" s="26"/>
      <c r="B1" s="27"/>
      <c r="C1" s="27"/>
      <c r="D1" s="54"/>
      <c r="E1" s="54"/>
      <c r="F1" s="27"/>
      <c r="G1" s="27"/>
      <c r="H1" s="53"/>
      <c r="I1" s="53"/>
      <c r="J1" s="52"/>
      <c r="K1" s="27"/>
      <c r="L1" s="27"/>
      <c r="M1" s="27"/>
      <c r="N1" s="27"/>
      <c r="O1" s="27"/>
      <c r="P1" s="27"/>
      <c r="Q1" s="27"/>
      <c r="R1" s="27"/>
      <c r="S1" s="28"/>
      <c r="AB1" s="60"/>
      <c r="AC1" s="61" t="s">
        <v>44</v>
      </c>
      <c r="AD1" s="60">
        <f>2*PI()*$D$11/$D$7*SQRT($D$6*$D$8/$D$6)*(1/3-$D$13/$D$11+($D$13/$D$11)^2)-LN(SIN(RADIANS(180*$D$10/$D$7)))-0.5*LN($D$11/$D$7*SQRT($D$6*$D$8/$D$6))-1.088</f>
        <v>5.81045832536452</v>
      </c>
      <c r="AE1" s="60"/>
      <c r="AF1" s="60">
        <f>$D$11/SQRT($D$6)</f>
        <v>500</v>
      </c>
      <c r="AG1" s="60">
        <f>$D$12/SQRT($D$6)</f>
        <v>1000</v>
      </c>
      <c r="AH1" s="60"/>
      <c r="AI1" s="62">
        <f>$D$13</f>
        <v>250</v>
      </c>
      <c r="AJ1" s="60"/>
      <c r="AK1" s="60"/>
      <c r="AL1" s="60">
        <f>IF(AL3&gt;=AM3,1,0)</f>
        <v>1</v>
      </c>
      <c r="AM1" s="60"/>
      <c r="AN1" s="60"/>
      <c r="AO1" s="60"/>
      <c r="AP1" s="60"/>
      <c r="AQ1" s="60"/>
    </row>
    <row r="2" spans="1:43" ht="15" customHeight="1">
      <c r="A2" s="29"/>
      <c r="B2" s="30" t="s">
        <v>36</v>
      </c>
      <c r="C2" s="16"/>
      <c r="D2" s="54"/>
      <c r="E2" s="54"/>
      <c r="F2" s="16"/>
      <c r="G2" s="16"/>
      <c r="H2" s="55"/>
      <c r="I2" s="55"/>
      <c r="J2" s="53"/>
      <c r="K2" s="16"/>
      <c r="L2" s="16"/>
      <c r="M2" s="16"/>
      <c r="N2" s="16"/>
      <c r="O2" s="16"/>
      <c r="P2" s="16"/>
      <c r="Q2" s="16"/>
      <c r="R2" s="16"/>
      <c r="S2" s="31"/>
      <c r="AB2" s="60"/>
      <c r="AC2" s="61" t="s">
        <v>45</v>
      </c>
      <c r="AD2" s="60">
        <f>IF(D9=D12,0,AN20)</f>
        <v>46.81609342665119</v>
      </c>
      <c r="AE2" s="60"/>
      <c r="AF2" s="60">
        <f>0.7*$D$12/SQRT($D$6)</f>
        <v>700</v>
      </c>
      <c r="AG2" s="60">
        <f>1.25*$D$11/SQRT($D$6)</f>
        <v>625</v>
      </c>
      <c r="AH2" s="60"/>
      <c r="AI2" s="62">
        <f>$D$11-$D$13</f>
        <v>250</v>
      </c>
      <c r="AJ2" s="60"/>
      <c r="AK2" s="60"/>
      <c r="AL2" s="60"/>
      <c r="AM2" s="60"/>
      <c r="AN2" s="60"/>
      <c r="AO2" s="60"/>
      <c r="AP2" s="60"/>
      <c r="AQ2" s="60"/>
    </row>
    <row r="3" spans="1:43" ht="15" customHeight="1">
      <c r="A3" s="29"/>
      <c r="B3" s="32" t="s">
        <v>37</v>
      </c>
      <c r="C3" s="16"/>
      <c r="D3" s="16"/>
      <c r="E3" s="16"/>
      <c r="F3" s="16"/>
      <c r="G3" s="16"/>
      <c r="H3" s="55"/>
      <c r="I3" s="16"/>
      <c r="J3" s="53"/>
      <c r="K3" s="16"/>
      <c r="L3" s="16"/>
      <c r="M3" s="16"/>
      <c r="N3" s="16"/>
      <c r="O3" s="16"/>
      <c r="P3" s="16"/>
      <c r="Q3" s="16"/>
      <c r="R3" s="16"/>
      <c r="S3" s="31"/>
      <c r="AB3" s="60"/>
      <c r="AC3" s="61"/>
      <c r="AD3" s="60"/>
      <c r="AE3" s="60"/>
      <c r="AF3" s="60">
        <f>0.75*$D$7/SQRT($D$6*$D$8)</f>
        <v>23.717082451262844</v>
      </c>
      <c r="AG3" s="60">
        <f>$D$7/SQRT($D$6*$D$8)</f>
        <v>31.622776601683793</v>
      </c>
      <c r="AH3" s="60"/>
      <c r="AI3" s="62">
        <f>MIN($AI$1:$AI$2)</f>
        <v>250</v>
      </c>
      <c r="AJ3" s="60"/>
      <c r="AK3" s="60"/>
      <c r="AL3" s="60">
        <f>MIN(AL4:AL5)</f>
        <v>250</v>
      </c>
      <c r="AM3" s="60">
        <f>0.25*D11</f>
        <v>125</v>
      </c>
      <c r="AN3" s="60"/>
      <c r="AO3" s="60"/>
      <c r="AP3" s="60"/>
      <c r="AQ3" s="60"/>
    </row>
    <row r="4" spans="1:43" ht="15" customHeight="1" thickBot="1">
      <c r="A4" s="29"/>
      <c r="B4" s="16"/>
      <c r="C4" s="16"/>
      <c r="D4" s="16"/>
      <c r="E4" s="16"/>
      <c r="F4" s="16"/>
      <c r="G4" s="16"/>
      <c r="H4" s="53"/>
      <c r="I4" s="53"/>
      <c r="J4" s="53"/>
      <c r="K4" s="16"/>
      <c r="L4" s="16"/>
      <c r="M4" s="16"/>
      <c r="N4" s="16"/>
      <c r="O4" s="16"/>
      <c r="P4" s="16"/>
      <c r="Q4" s="16"/>
      <c r="R4" s="16"/>
      <c r="S4" s="31"/>
      <c r="AB4" s="60"/>
      <c r="AC4" s="60"/>
      <c r="AD4" s="60">
        <f>IF(B23="*входные параметры неверны",1,0)</f>
        <v>0</v>
      </c>
      <c r="AE4" s="60"/>
      <c r="AF4" s="60"/>
      <c r="AG4" s="60"/>
      <c r="AH4" s="60"/>
      <c r="AI4" s="62">
        <f>$D$11</f>
        <v>500</v>
      </c>
      <c r="AJ4" s="60">
        <f>0.75*$D$7*SQRT($D$6/($D$6*$D$8))</f>
        <v>23.717082451262847</v>
      </c>
      <c r="AK4" s="60"/>
      <c r="AL4" s="62">
        <f>D13</f>
        <v>250</v>
      </c>
      <c r="AM4" s="60"/>
      <c r="AN4" s="60"/>
      <c r="AO4" s="60"/>
      <c r="AP4" s="60"/>
      <c r="AQ4" s="60"/>
    </row>
    <row r="5" spans="1:43" ht="15" customHeight="1">
      <c r="A5" s="29"/>
      <c r="B5" s="1" t="s">
        <v>4</v>
      </c>
      <c r="C5" s="2" t="s">
        <v>6</v>
      </c>
      <c r="D5" s="11">
        <v>0.1</v>
      </c>
      <c r="E5" s="3" t="s">
        <v>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31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2">
        <f>D11-D13</f>
        <v>250</v>
      </c>
      <c r="AM5" s="60"/>
      <c r="AN5" s="60"/>
      <c r="AO5" s="60"/>
      <c r="AP5" s="60"/>
      <c r="AQ5" s="60"/>
    </row>
    <row r="6" spans="1:43" ht="15" customHeight="1">
      <c r="A6" s="29"/>
      <c r="B6" s="7" t="s">
        <v>13</v>
      </c>
      <c r="C6" s="8" t="s">
        <v>22</v>
      </c>
      <c r="D6" s="13">
        <v>1</v>
      </c>
      <c r="E6" s="9" t="s">
        <v>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31"/>
      <c r="AB6" s="60"/>
      <c r="AC6" s="60"/>
      <c r="AD6" s="60"/>
      <c r="AE6" s="60"/>
      <c r="AF6" s="60"/>
      <c r="AG6" s="60"/>
      <c r="AH6" s="60"/>
      <c r="AI6" s="60">
        <f>IF($AI$3&gt;=$AJ$4,1,0)</f>
        <v>1</v>
      </c>
      <c r="AJ6" s="60">
        <f>IF($AI$4&gt;=$AJ$4,1,0)</f>
        <v>1</v>
      </c>
      <c r="AK6" s="60"/>
      <c r="AL6" s="60"/>
      <c r="AM6" s="60"/>
      <c r="AN6" s="60"/>
      <c r="AO6" s="60"/>
      <c r="AP6" s="60"/>
      <c r="AQ6" s="60"/>
    </row>
    <row r="7" spans="1:43" ht="15" customHeight="1">
      <c r="A7" s="29"/>
      <c r="B7" s="4" t="s">
        <v>0</v>
      </c>
      <c r="C7" s="5" t="s">
        <v>3</v>
      </c>
      <c r="D7" s="12">
        <v>10</v>
      </c>
      <c r="E7" s="6" t="s">
        <v>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31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1:43" ht="15" customHeight="1">
      <c r="A8" s="29"/>
      <c r="B8" s="7" t="s">
        <v>5</v>
      </c>
      <c r="C8" s="17" t="s">
        <v>7</v>
      </c>
      <c r="D8" s="18">
        <v>0.1</v>
      </c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31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1:43" ht="15" customHeight="1">
      <c r="A9" s="29"/>
      <c r="B9" s="42" t="s">
        <v>12</v>
      </c>
      <c r="C9" s="5" t="s">
        <v>1</v>
      </c>
      <c r="D9" s="12">
        <v>300</v>
      </c>
      <c r="E9" s="6" t="s">
        <v>2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1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ht="15" customHeight="1">
      <c r="A10" s="29"/>
      <c r="B10" s="7" t="s">
        <v>23</v>
      </c>
      <c r="C10" s="45" t="s">
        <v>29</v>
      </c>
      <c r="D10" s="56">
        <f>D7/2</f>
        <v>5</v>
      </c>
      <c r="E10" s="9" t="s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1"/>
      <c r="AB10" s="60"/>
      <c r="AC10" s="60"/>
      <c r="AD10" s="62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ht="15" customHeight="1">
      <c r="A11" s="29"/>
      <c r="B11" s="37" t="s">
        <v>33</v>
      </c>
      <c r="C11" s="51" t="s">
        <v>24</v>
      </c>
      <c r="D11" s="57">
        <v>500</v>
      </c>
      <c r="E11" s="19" t="s">
        <v>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1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ht="15" customHeight="1">
      <c r="A12" s="29"/>
      <c r="B12" s="37" t="s">
        <v>34</v>
      </c>
      <c r="C12" s="51" t="s">
        <v>25</v>
      </c>
      <c r="D12" s="57">
        <v>1000</v>
      </c>
      <c r="E12" s="19" t="s">
        <v>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1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ht="15" customHeight="1">
      <c r="A13" s="29"/>
      <c r="B13" s="37" t="s">
        <v>28</v>
      </c>
      <c r="C13" s="38" t="s">
        <v>30</v>
      </c>
      <c r="D13" s="39">
        <f>D11/2</f>
        <v>250</v>
      </c>
      <c r="E13" s="46" t="s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1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ht="15" customHeight="1">
      <c r="A14" s="29"/>
      <c r="B14" s="58" t="s">
        <v>35</v>
      </c>
      <c r="C14" s="38" t="s">
        <v>31</v>
      </c>
      <c r="D14" s="39">
        <f>($D$12-$D$9)/2</f>
        <v>350</v>
      </c>
      <c r="E14" s="46" t="s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1"/>
      <c r="AB14" s="60"/>
      <c r="AC14" s="60"/>
      <c r="AD14" s="60"/>
      <c r="AE14" s="60"/>
      <c r="AF14" s="60"/>
      <c r="AG14" s="60"/>
      <c r="AH14" s="60"/>
      <c r="AI14" s="60"/>
      <c r="AJ14" s="63"/>
      <c r="AK14" s="63"/>
      <c r="AL14" s="63"/>
      <c r="AM14" s="64" t="s">
        <v>39</v>
      </c>
      <c r="AN14" s="64" t="s">
        <v>40</v>
      </c>
      <c r="AO14" s="63"/>
      <c r="AP14" s="63" t="s">
        <v>42</v>
      </c>
      <c r="AQ14" s="63"/>
    </row>
    <row r="15" spans="1:43" ht="15" customHeight="1">
      <c r="A15" s="29"/>
      <c r="B15" s="59"/>
      <c r="C15" s="38" t="s">
        <v>32</v>
      </c>
      <c r="D15" s="39">
        <f>D14+D9</f>
        <v>650</v>
      </c>
      <c r="E15" s="46" t="s">
        <v>2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1"/>
      <c r="AB15" s="60"/>
      <c r="AC15" s="60"/>
      <c r="AD15" s="60"/>
      <c r="AE15" s="60"/>
      <c r="AF15" s="60"/>
      <c r="AG15" s="60"/>
      <c r="AH15" s="60"/>
      <c r="AI15" s="60"/>
      <c r="AJ15" s="63"/>
      <c r="AK15" s="63"/>
      <c r="AL15" s="63"/>
      <c r="AM15" s="64">
        <f>IF($AF$1&gt;=$AF$2,1,0)</f>
        <v>0</v>
      </c>
      <c r="AN15" s="64">
        <f>IF($AG$1&gt;$AG$2,1,0)</f>
        <v>1</v>
      </c>
      <c r="AO15" s="63"/>
      <c r="AP15" s="65">
        <f>MIN(D13,D11-D13)</f>
        <v>250</v>
      </c>
      <c r="AQ15" s="63"/>
    </row>
    <row r="16" spans="1:43" ht="15" customHeight="1">
      <c r="A16" s="29"/>
      <c r="B16" s="7" t="s">
        <v>19</v>
      </c>
      <c r="C16" s="38" t="s">
        <v>9</v>
      </c>
      <c r="D16" s="18">
        <v>1</v>
      </c>
      <c r="E16" s="19" t="s">
        <v>10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1"/>
      <c r="AB16" s="60"/>
      <c r="AC16" s="60"/>
      <c r="AD16" s="60"/>
      <c r="AE16" s="60"/>
      <c r="AF16" s="60"/>
      <c r="AG16" s="60"/>
      <c r="AH16" s="60"/>
      <c r="AI16" s="60"/>
      <c r="AJ16" s="63"/>
      <c r="AK16" s="63"/>
      <c r="AL16" s="63"/>
      <c r="AM16" s="64">
        <f>IF($AF$2&gt;=$AF$3*10,1,0)</f>
        <v>1</v>
      </c>
      <c r="AN16" s="64">
        <f>IF($AG$2&gt;=$AG$3*10,1,0)</f>
        <v>1</v>
      </c>
      <c r="AO16" s="63"/>
      <c r="AP16" s="63"/>
      <c r="AQ16" s="63"/>
    </row>
    <row r="17" spans="1:43" ht="15" customHeight="1">
      <c r="A17" s="29"/>
      <c r="B17" s="7" t="s">
        <v>20</v>
      </c>
      <c r="C17" s="17" t="s">
        <v>21</v>
      </c>
      <c r="D17" s="18">
        <v>1</v>
      </c>
      <c r="E17" s="19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1"/>
      <c r="AB17" s="60"/>
      <c r="AC17" s="60"/>
      <c r="AD17" s="60"/>
      <c r="AE17" s="60"/>
      <c r="AF17" s="60"/>
      <c r="AG17" s="60"/>
      <c r="AH17" s="60"/>
      <c r="AI17" s="60"/>
      <c r="AJ17" s="63"/>
      <c r="AK17" s="63"/>
      <c r="AL17" s="63"/>
      <c r="AM17" s="64">
        <f>IF(SUM(AM15:AM16)=2,1,0)</f>
        <v>0</v>
      </c>
      <c r="AN17" s="64">
        <f>IF(SUM(AN15:AN16)=2,1,0)</f>
        <v>1</v>
      </c>
      <c r="AO17" s="63"/>
      <c r="AP17" s="63"/>
      <c r="AQ17" s="63"/>
    </row>
    <row r="18" spans="1:43" ht="15" customHeight="1">
      <c r="A18" s="29"/>
      <c r="B18" s="7" t="s">
        <v>15</v>
      </c>
      <c r="C18" s="17" t="s">
        <v>16</v>
      </c>
      <c r="D18" s="18">
        <v>66</v>
      </c>
      <c r="E18" s="19" t="s">
        <v>18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1"/>
      <c r="AB18" s="60"/>
      <c r="AC18" s="60"/>
      <c r="AD18" s="60"/>
      <c r="AE18" s="60"/>
      <c r="AF18" s="60"/>
      <c r="AG18" s="60"/>
      <c r="AH18" s="60"/>
      <c r="AI18" s="60"/>
      <c r="AJ18" s="66" t="s">
        <v>46</v>
      </c>
      <c r="AK18" s="71">
        <f>IF(AP15&gt;=0.25*D11,(D12/D9-1)*(2*PI()*D11/D7*SQRT(D8))*(1/3-D13/D11+(D13/D11)^2),0)</f>
        <v>19.31725496127019</v>
      </c>
      <c r="AL18" s="71">
        <f>IF(AP15&gt;=0.25*D11,(D12/D9-1)*(PI()*D11/D7*SQRT(D8))*(1/3-D13/D11+(D13/D11)^2),0)</f>
        <v>9.658627480635095</v>
      </c>
      <c r="AM18" s="63">
        <f>AK20+AK21</f>
        <v>65.41730155782828</v>
      </c>
      <c r="AN18" s="72">
        <f>AK19+AK18+AK21</f>
        <v>46.81609342665119</v>
      </c>
      <c r="AO18" s="63"/>
      <c r="AP18" s="63"/>
      <c r="AQ18" s="63"/>
    </row>
    <row r="19" spans="1:43" ht="15" customHeight="1">
      <c r="A19" s="29"/>
      <c r="B19" s="50" t="s">
        <v>38</v>
      </c>
      <c r="C19" s="20" t="s">
        <v>17</v>
      </c>
      <c r="D19" s="21">
        <v>200</v>
      </c>
      <c r="E19" s="22" t="s">
        <v>18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1"/>
      <c r="AB19" s="60"/>
      <c r="AC19" s="60"/>
      <c r="AD19" s="60"/>
      <c r="AE19" s="60"/>
      <c r="AF19" s="60"/>
      <c r="AG19" s="60"/>
      <c r="AH19" s="60"/>
      <c r="AI19" s="60"/>
      <c r="AJ19" s="66" t="s">
        <v>47</v>
      </c>
      <c r="AK19" s="72">
        <f>2*PI()*D12^2/D11/D7*SQRT(D6*D6*D8)/D6*(1/3-AK23/D12+(AK23/D12)^2+D9/24/D12*(D9/D12-3))</f>
        <v>19.70360006049559</v>
      </c>
      <c r="AL19" s="72"/>
      <c r="AM19" s="63"/>
      <c r="AN19" s="63"/>
      <c r="AO19" s="63"/>
      <c r="AP19" s="63"/>
      <c r="AQ19" s="63"/>
    </row>
    <row r="20" spans="1:43" ht="15" customHeight="1" thickBot="1">
      <c r="A20" s="29"/>
      <c r="B20" s="43" t="s">
        <v>26</v>
      </c>
      <c r="C20" s="44" t="s">
        <v>27</v>
      </c>
      <c r="D20" s="14">
        <v>0</v>
      </c>
      <c r="E20" s="10"/>
      <c r="F20" s="16"/>
      <c r="G20" s="16"/>
      <c r="H20" s="16"/>
      <c r="I20" s="16"/>
      <c r="J20" s="16"/>
      <c r="K20" s="16"/>
      <c r="L20" s="16"/>
      <c r="M20" s="55" t="s">
        <v>55</v>
      </c>
      <c r="N20" s="16"/>
      <c r="O20" s="16"/>
      <c r="P20" s="16"/>
      <c r="Q20" s="16"/>
      <c r="R20" s="16"/>
      <c r="S20" s="31"/>
      <c r="AB20" s="60"/>
      <c r="AC20" s="60"/>
      <c r="AD20" s="60"/>
      <c r="AE20" s="60"/>
      <c r="AF20" s="60"/>
      <c r="AG20" s="60"/>
      <c r="AH20" s="60"/>
      <c r="AI20" s="60"/>
      <c r="AJ20" s="67" t="s">
        <v>48</v>
      </c>
      <c r="AK20" s="63">
        <f>2*$D$12^2/$D$9/$D$7*SQRT($D$6*$D$8/$D$6)*($AK$27+0.5*($AK$28-$AK$29))</f>
        <v>57.62206315294287</v>
      </c>
      <c r="AL20" s="63"/>
      <c r="AM20" s="66" t="s">
        <v>45</v>
      </c>
      <c r="AN20" s="71">
        <f>AN18</f>
        <v>46.81609342665119</v>
      </c>
      <c r="AO20" s="63"/>
      <c r="AP20" s="63"/>
      <c r="AQ20" s="63"/>
    </row>
    <row r="21" spans="1:43" ht="15" customHeight="1">
      <c r="A21" s="29"/>
      <c r="B21" s="16"/>
      <c r="C21" s="16"/>
      <c r="D21" s="16"/>
      <c r="E21" s="16"/>
      <c r="F21" s="16"/>
      <c r="G21" s="16"/>
      <c r="H21" s="16"/>
      <c r="I21" s="16">
        <f>D13/D11</f>
        <v>0.5</v>
      </c>
      <c r="J21" s="16"/>
      <c r="K21" s="16">
        <f>1/0.00708188*0.3048/0.1589873/14.69595</f>
        <v>18.420707200668556</v>
      </c>
      <c r="L21" s="16"/>
      <c r="M21" s="16"/>
      <c r="N21" s="16"/>
      <c r="O21" s="16"/>
      <c r="P21" s="16"/>
      <c r="Q21" s="16"/>
      <c r="R21" s="16"/>
      <c r="S21" s="31"/>
      <c r="AB21" s="60"/>
      <c r="AC21" s="60"/>
      <c r="AD21" s="60"/>
      <c r="AE21" s="60"/>
      <c r="AF21" s="60"/>
      <c r="AG21" s="60"/>
      <c r="AH21" s="60"/>
      <c r="AI21" s="60"/>
      <c r="AJ21" s="66" t="s">
        <v>49</v>
      </c>
      <c r="AK21" s="72">
        <f>($D$12/$D$9-1)*(LN($D$7/$D$5)+0.25*LN($D$6/($D$6*$D$8))-LN(SIN(RADIANS(180*$D$10/$D$7)))-1.84)</f>
        <v>7.795238404885409</v>
      </c>
      <c r="AL21" s="72"/>
      <c r="AM21" s="63"/>
      <c r="AN21" s="63">
        <f>IF(AND(AN17=1,AN18),(AM18+AN18)/2,IF(AN17=1,AN18,IF(AM17=1,AM18,-1000000)))</f>
        <v>56.11669749223974</v>
      </c>
      <c r="AO21" s="71">
        <f>(AM18+AN18)/2</f>
        <v>56.11669749223974</v>
      </c>
      <c r="AP21" s="63"/>
      <c r="AQ21" s="63"/>
    </row>
    <row r="22" spans="1:43" ht="15" customHeight="1" thickBot="1">
      <c r="A22" s="29"/>
      <c r="B22" s="23" t="s">
        <v>43</v>
      </c>
      <c r="C22" s="24" t="s">
        <v>14</v>
      </c>
      <c r="D22" s="48">
        <f>IF($AD$2=0,0,$D$12*($D$6*$D$6*$D$8)^0.5*($D$19-$D$18)/18.4207072006686/$D$16/$D$17*(LN(SQRT($D$11*$D$7)/$D$5)+$AD$1-0.75+$AD$2+$D$20)^(-1))</f>
        <v>39.36453592377883</v>
      </c>
      <c r="E22" s="25" t="s">
        <v>11</v>
      </c>
      <c r="F22" s="16"/>
      <c r="G22" s="16"/>
      <c r="H22" s="73">
        <f>D22/(D19-D18)</f>
        <v>0.2937651934610361</v>
      </c>
      <c r="I22" s="16">
        <f>D14/D12</f>
        <v>0.35</v>
      </c>
      <c r="J22" s="16"/>
      <c r="K22" s="16"/>
      <c r="L22" s="16"/>
      <c r="M22" s="16"/>
      <c r="N22" s="16"/>
      <c r="O22" s="16"/>
      <c r="P22" s="16"/>
      <c r="Q22" s="16"/>
      <c r="R22" s="16"/>
      <c r="S22" s="31"/>
      <c r="AB22" s="60"/>
      <c r="AC22" s="60"/>
      <c r="AD22" s="60"/>
      <c r="AE22" s="60"/>
      <c r="AF22" s="60"/>
      <c r="AG22" s="60"/>
      <c r="AH22" s="60"/>
      <c r="AI22" s="60"/>
      <c r="AJ22" s="63"/>
      <c r="AK22" s="63"/>
      <c r="AL22" s="63"/>
      <c r="AM22" s="63"/>
      <c r="AN22" s="63"/>
      <c r="AO22" s="63"/>
      <c r="AP22" s="63"/>
      <c r="AQ22" s="63"/>
    </row>
    <row r="23" spans="1:43" ht="15" customHeight="1" thickBot="1">
      <c r="A23" s="33"/>
      <c r="B23" s="47">
        <f>IF(AN20=-1000000,"*результаты расчета заданной модели некорректны",IF(OR(AD2=0,D12&lt;D9,D15&gt;D12,D14&gt;D15,D14&gt;D12,D13&gt;D11,D10&gt;D7),"*входные параметры неверны",""))</f>
      </c>
      <c r="C23" s="34"/>
      <c r="D23" s="36"/>
      <c r="E23" s="36"/>
      <c r="F23" s="34"/>
      <c r="G23" s="34"/>
      <c r="H23" s="34"/>
      <c r="I23" s="34">
        <f>D15/D12</f>
        <v>0.65</v>
      </c>
      <c r="J23" s="34"/>
      <c r="K23" s="34"/>
      <c r="L23" s="34"/>
      <c r="M23" s="34"/>
      <c r="N23" s="34"/>
      <c r="O23" s="34"/>
      <c r="P23" s="34"/>
      <c r="Q23" s="34"/>
      <c r="R23" s="34"/>
      <c r="S23" s="35"/>
      <c r="AB23" s="60"/>
      <c r="AC23" s="60"/>
      <c r="AD23" s="60"/>
      <c r="AE23" s="60"/>
      <c r="AF23" s="60"/>
      <c r="AG23" s="60"/>
      <c r="AH23" s="60"/>
      <c r="AI23" s="60"/>
      <c r="AJ23" s="66" t="s">
        <v>50</v>
      </c>
      <c r="AK23" s="63">
        <f>(D14+D15)/2</f>
        <v>500</v>
      </c>
      <c r="AL23" s="63"/>
      <c r="AM23" s="63"/>
      <c r="AN23" s="63"/>
      <c r="AO23" s="63"/>
      <c r="AP23" s="63"/>
      <c r="AQ23" s="63"/>
    </row>
    <row r="24" spans="1:43" ht="12.75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AB24" s="60"/>
      <c r="AC24" s="60"/>
      <c r="AD24" s="60"/>
      <c r="AE24" s="60"/>
      <c r="AF24" s="60"/>
      <c r="AG24" s="62">
        <f>$D$12</f>
        <v>1000</v>
      </c>
      <c r="AH24" s="60"/>
      <c r="AI24" s="60"/>
      <c r="AJ24" s="66"/>
      <c r="AK24" s="63"/>
      <c r="AL24" s="63"/>
      <c r="AM24" s="63"/>
      <c r="AN24" s="63"/>
      <c r="AO24" s="63"/>
      <c r="AP24" s="63"/>
      <c r="AQ24" s="63"/>
    </row>
    <row r="25" spans="1:43" ht="15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AB25" s="60"/>
      <c r="AC25" s="60"/>
      <c r="AD25" s="60"/>
      <c r="AE25" s="60">
        <v>0</v>
      </c>
      <c r="AF25" s="60">
        <v>0</v>
      </c>
      <c r="AG25" s="62">
        <f>$D$12</f>
        <v>1000</v>
      </c>
      <c r="AH25" s="60"/>
      <c r="AI25" s="60"/>
      <c r="AJ25" s="66" t="s">
        <v>51</v>
      </c>
      <c r="AK25" s="63">
        <f>(4*AK23+D9)/2/D12</f>
        <v>1.15</v>
      </c>
      <c r="AL25" s="63"/>
      <c r="AM25" s="63"/>
      <c r="AN25" s="63"/>
      <c r="AO25" s="63"/>
      <c r="AP25" s="63"/>
      <c r="AQ25" s="63"/>
    </row>
    <row r="26" spans="1:44" ht="15.75">
      <c r="A26" s="40"/>
      <c r="B26" s="68"/>
      <c r="C26" s="68"/>
      <c r="D26" s="69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0"/>
      <c r="AC26" s="60"/>
      <c r="AD26" s="60"/>
      <c r="AE26" s="62">
        <f>$D$12</f>
        <v>1000</v>
      </c>
      <c r="AF26" s="60">
        <v>0</v>
      </c>
      <c r="AG26" s="60">
        <v>0</v>
      </c>
      <c r="AH26" s="60"/>
      <c r="AI26" s="60"/>
      <c r="AJ26" s="66" t="s">
        <v>52</v>
      </c>
      <c r="AK26" s="63">
        <f>(4*AK23-D9)/2/D12</f>
        <v>0.85</v>
      </c>
      <c r="AL26" s="63"/>
      <c r="AM26" s="63"/>
      <c r="AN26" s="63"/>
      <c r="AO26" s="63"/>
      <c r="AP26" s="63"/>
      <c r="AQ26" s="63"/>
      <c r="AR26" s="68"/>
    </row>
    <row r="27" spans="1:44" ht="12.75">
      <c r="A27" s="4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0"/>
      <c r="AC27" s="60"/>
      <c r="AD27" s="60"/>
      <c r="AE27" s="60">
        <v>0</v>
      </c>
      <c r="AF27" s="60">
        <v>0</v>
      </c>
      <c r="AG27" s="60"/>
      <c r="AH27" s="60"/>
      <c r="AI27" s="60"/>
      <c r="AJ27" s="66" t="s">
        <v>41</v>
      </c>
      <c r="AK27" s="63">
        <f>-(D9/2/D12)*(0.145+LN(D9/2/D12)-0.137*(D9/2/D12)^2)</f>
        <v>0.2632803727328822</v>
      </c>
      <c r="AL27" s="63"/>
      <c r="AM27" s="63"/>
      <c r="AN27" s="63"/>
      <c r="AO27" s="63"/>
      <c r="AP27" s="63"/>
      <c r="AQ27" s="63"/>
      <c r="AR27" s="68"/>
    </row>
    <row r="28" spans="1:44" ht="15.75">
      <c r="A28" s="4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0"/>
      <c r="AC28" s="60"/>
      <c r="AD28" s="60"/>
      <c r="AE28" s="62">
        <f>$D$11</f>
        <v>500</v>
      </c>
      <c r="AF28" s="60">
        <v>0</v>
      </c>
      <c r="AG28" s="60"/>
      <c r="AH28" s="60"/>
      <c r="AI28" s="60"/>
      <c r="AJ28" s="66" t="s">
        <v>53</v>
      </c>
      <c r="AK28" s="63">
        <f>IF(AK25&lt;=1,-(AK26)*(0.145+LN(AK26)-0.137*(AK26)^2),(2-AK25)*(0.145+LN(2-AK25)-0.137*(2-AK25)^2))</f>
        <v>-0.09902621507310862</v>
      </c>
      <c r="AL28" s="63"/>
      <c r="AM28" s="63"/>
      <c r="AN28" s="63"/>
      <c r="AO28" s="63"/>
      <c r="AP28" s="63"/>
      <c r="AQ28" s="63"/>
      <c r="AR28" s="68"/>
    </row>
    <row r="29" spans="1:44" ht="15.75">
      <c r="A29" s="4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0"/>
      <c r="AC29" s="60"/>
      <c r="AD29" s="60"/>
      <c r="AE29" s="62">
        <f>$D$11</f>
        <v>500</v>
      </c>
      <c r="AF29" s="60"/>
      <c r="AG29" s="60"/>
      <c r="AH29" s="60"/>
      <c r="AI29" s="60"/>
      <c r="AJ29" s="66" t="s">
        <v>54</v>
      </c>
      <c r="AK29" s="63">
        <f>IF(AK26&lt;=1,-(AK25)*(0.145+LN(AK25)-0.137*(AK25)^2),(2-AK26)*(0.145+LN(2-AK26)-0.137*(2-AK26)^2))</f>
        <v>-0.1191163587314324</v>
      </c>
      <c r="AL29" s="63"/>
      <c r="AM29" s="63"/>
      <c r="AN29" s="63"/>
      <c r="AO29" s="63"/>
      <c r="AP29" s="63"/>
      <c r="AQ29" s="63"/>
      <c r="AR29" s="68"/>
    </row>
    <row r="30" spans="1:44" ht="12.75">
      <c r="A30" s="40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0"/>
      <c r="AC30" s="60"/>
      <c r="AD30" s="60"/>
      <c r="AE30" s="60"/>
      <c r="AF30" s="60"/>
      <c r="AG30" s="60"/>
      <c r="AH30" s="60"/>
      <c r="AI30" s="60"/>
      <c r="AJ30" s="66"/>
      <c r="AK30" s="63"/>
      <c r="AL30" s="63"/>
      <c r="AM30" s="63"/>
      <c r="AN30" s="63"/>
      <c r="AO30" s="63"/>
      <c r="AP30" s="63"/>
      <c r="AQ30" s="63"/>
      <c r="AR30" s="68"/>
    </row>
    <row r="31" spans="1:44" ht="12.75">
      <c r="A31" s="40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0"/>
      <c r="AC31" s="60"/>
      <c r="AD31" s="60"/>
      <c r="AE31" s="60"/>
      <c r="AF31" s="60"/>
      <c r="AG31" s="60"/>
      <c r="AH31" s="60"/>
      <c r="AI31" s="60"/>
      <c r="AJ31" s="63"/>
      <c r="AK31" s="63"/>
      <c r="AL31" s="63"/>
      <c r="AM31" s="63"/>
      <c r="AN31" s="63"/>
      <c r="AO31" s="63"/>
      <c r="AP31" s="63"/>
      <c r="AQ31" s="63"/>
      <c r="AR31" s="68"/>
    </row>
    <row r="32" spans="1:44" ht="12.75">
      <c r="A32" s="40"/>
      <c r="B32" s="7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0"/>
      <c r="AC32" s="60"/>
      <c r="AD32" s="60"/>
      <c r="AE32" s="62">
        <f>$D$13</f>
        <v>250</v>
      </c>
      <c r="AF32" s="62">
        <f>$D$14</f>
        <v>350</v>
      </c>
      <c r="AG32" s="60"/>
      <c r="AH32" s="60"/>
      <c r="AI32" s="60"/>
      <c r="AJ32" s="63"/>
      <c r="AK32" s="63"/>
      <c r="AL32" s="63"/>
      <c r="AM32" s="63"/>
      <c r="AN32" s="63"/>
      <c r="AO32" s="63"/>
      <c r="AP32" s="63"/>
      <c r="AQ32" s="63"/>
      <c r="AR32" s="68"/>
    </row>
    <row r="33" spans="1:44" ht="12.75">
      <c r="A33" s="40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0"/>
      <c r="AC33" s="60"/>
      <c r="AD33" s="60"/>
      <c r="AE33" s="62">
        <f>$D$13</f>
        <v>250</v>
      </c>
      <c r="AF33" s="62">
        <f>$D$15</f>
        <v>650</v>
      </c>
      <c r="AG33" s="60"/>
      <c r="AH33" s="60"/>
      <c r="AI33" s="60"/>
      <c r="AJ33" s="63"/>
      <c r="AK33" s="63"/>
      <c r="AL33" s="63"/>
      <c r="AM33" s="63"/>
      <c r="AN33" s="63"/>
      <c r="AO33" s="63"/>
      <c r="AP33" s="63"/>
      <c r="AQ33" s="63"/>
      <c r="AR33" s="68"/>
    </row>
    <row r="34" spans="1:44" ht="12.75">
      <c r="A34" s="40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0"/>
      <c r="AC34" s="60"/>
      <c r="AD34" s="60"/>
      <c r="AE34" s="60"/>
      <c r="AF34" s="60"/>
      <c r="AG34" s="60"/>
      <c r="AH34" s="60"/>
      <c r="AI34" s="60"/>
      <c r="AJ34" s="63"/>
      <c r="AK34" s="63"/>
      <c r="AL34" s="63"/>
      <c r="AM34" s="63"/>
      <c r="AN34" s="63"/>
      <c r="AO34" s="63"/>
      <c r="AP34" s="63"/>
      <c r="AQ34" s="63"/>
      <c r="AR34" s="68"/>
    </row>
    <row r="35" spans="1:44" ht="12.75">
      <c r="A35" s="4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0"/>
      <c r="AC35" s="60"/>
      <c r="AD35" s="60"/>
      <c r="AE35" s="60"/>
      <c r="AF35" s="60"/>
      <c r="AG35" s="60"/>
      <c r="AH35" s="60"/>
      <c r="AI35" s="60"/>
      <c r="AJ35" s="63"/>
      <c r="AK35" s="63"/>
      <c r="AL35" s="63"/>
      <c r="AM35" s="63"/>
      <c r="AN35" s="63"/>
      <c r="AO35" s="63"/>
      <c r="AP35" s="63"/>
      <c r="AQ35" s="63"/>
      <c r="AR35" s="68"/>
    </row>
    <row r="36" spans="1:44" ht="12.75">
      <c r="A36" s="40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0"/>
      <c r="AC36" s="60"/>
      <c r="AD36" s="60"/>
      <c r="AE36" s="60"/>
      <c r="AF36" s="60"/>
      <c r="AG36" s="60"/>
      <c r="AH36" s="60"/>
      <c r="AI36" s="60"/>
      <c r="AJ36" s="63"/>
      <c r="AK36" s="63"/>
      <c r="AL36" s="63"/>
      <c r="AM36" s="63"/>
      <c r="AN36" s="63"/>
      <c r="AO36" s="63"/>
      <c r="AP36" s="63"/>
      <c r="AQ36" s="63"/>
      <c r="AR36" s="68"/>
    </row>
    <row r="37" spans="1:44" ht="12.75">
      <c r="A37" s="40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0"/>
      <c r="AC37" s="60"/>
      <c r="AD37" s="60">
        <f>(D12-D9)/2</f>
        <v>350</v>
      </c>
      <c r="AE37" s="60"/>
      <c r="AF37" s="60"/>
      <c r="AG37" s="60"/>
      <c r="AH37" s="60"/>
      <c r="AI37" s="60"/>
      <c r="AJ37" s="63"/>
      <c r="AK37" s="63"/>
      <c r="AL37" s="63"/>
      <c r="AM37" s="63"/>
      <c r="AN37" s="63"/>
      <c r="AO37" s="63"/>
      <c r="AP37" s="63"/>
      <c r="AQ37" s="63"/>
      <c r="AR37" s="68"/>
    </row>
    <row r="38" spans="1:44" ht="12.75">
      <c r="A38" s="40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0"/>
      <c r="AC38" s="60"/>
      <c r="AD38" s="60"/>
      <c r="AE38" s="60"/>
      <c r="AF38" s="60"/>
      <c r="AG38" s="60"/>
      <c r="AH38" s="60"/>
      <c r="AI38" s="60"/>
      <c r="AJ38" s="63"/>
      <c r="AK38" s="63"/>
      <c r="AL38" s="63"/>
      <c r="AM38" s="63"/>
      <c r="AN38" s="63"/>
      <c r="AO38" s="63"/>
      <c r="AP38" s="63"/>
      <c r="AQ38" s="63"/>
      <c r="AR38" s="68"/>
    </row>
    <row r="39" spans="1:44" ht="12.75">
      <c r="A39" s="4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0"/>
      <c r="AC39" s="60"/>
      <c r="AD39" s="60"/>
      <c r="AE39" s="60"/>
      <c r="AF39" s="60"/>
      <c r="AG39" s="60"/>
      <c r="AH39" s="60"/>
      <c r="AI39" s="60"/>
      <c r="AJ39" s="63"/>
      <c r="AK39" s="63"/>
      <c r="AL39" s="63"/>
      <c r="AM39" s="63"/>
      <c r="AN39" s="63"/>
      <c r="AO39" s="63"/>
      <c r="AP39" s="63"/>
      <c r="AQ39" s="63"/>
      <c r="AR39" s="68"/>
    </row>
    <row r="40" spans="1:44" ht="12.75">
      <c r="A40" s="40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0"/>
      <c r="AC40" s="60"/>
      <c r="AD40" s="60"/>
      <c r="AE40" s="60"/>
      <c r="AF40" s="60"/>
      <c r="AG40" s="60"/>
      <c r="AH40" s="60"/>
      <c r="AI40" s="60"/>
      <c r="AJ40" s="63"/>
      <c r="AK40" s="63"/>
      <c r="AL40" s="63"/>
      <c r="AM40" s="63"/>
      <c r="AN40" s="63"/>
      <c r="AO40" s="63"/>
      <c r="AP40" s="63"/>
      <c r="AQ40" s="63"/>
      <c r="AR40" s="68"/>
    </row>
    <row r="41" spans="1:44" ht="12.75">
      <c r="A41" s="40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0"/>
      <c r="AC41" s="60"/>
      <c r="AD41" s="60"/>
      <c r="AE41" s="60"/>
      <c r="AF41" s="60"/>
      <c r="AG41" s="60"/>
      <c r="AH41" s="60"/>
      <c r="AI41" s="60"/>
      <c r="AJ41" s="63"/>
      <c r="AK41" s="63"/>
      <c r="AL41" s="63"/>
      <c r="AM41" s="63"/>
      <c r="AN41" s="63"/>
      <c r="AO41" s="63"/>
      <c r="AP41" s="63"/>
      <c r="AQ41" s="63"/>
      <c r="AR41" s="68"/>
    </row>
    <row r="42" spans="1:44" ht="12.75">
      <c r="A42" s="40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0"/>
      <c r="AC42" s="60"/>
      <c r="AD42" s="60"/>
      <c r="AE42" s="60"/>
      <c r="AF42" s="60"/>
      <c r="AG42" s="60"/>
      <c r="AH42" s="60"/>
      <c r="AI42" s="60"/>
      <c r="AJ42" s="63"/>
      <c r="AK42" s="63"/>
      <c r="AL42" s="63"/>
      <c r="AM42" s="63"/>
      <c r="AN42" s="63"/>
      <c r="AO42" s="63"/>
      <c r="AP42" s="63"/>
      <c r="AQ42" s="63"/>
      <c r="AR42" s="68"/>
    </row>
    <row r="43" spans="1:44" ht="12.75">
      <c r="A43" s="40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0"/>
      <c r="AC43" s="60"/>
      <c r="AD43" s="60"/>
      <c r="AE43" s="60"/>
      <c r="AF43" s="60"/>
      <c r="AG43" s="60"/>
      <c r="AH43" s="60"/>
      <c r="AI43" s="60"/>
      <c r="AJ43" s="63"/>
      <c r="AK43" s="63"/>
      <c r="AL43" s="63"/>
      <c r="AM43" s="63"/>
      <c r="AN43" s="63"/>
      <c r="AO43" s="63"/>
      <c r="AP43" s="63"/>
      <c r="AQ43" s="63"/>
      <c r="AR43" s="68"/>
    </row>
    <row r="44" spans="1:44" ht="12.75">
      <c r="A44" s="40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0"/>
      <c r="AC44" s="60"/>
      <c r="AD44" s="60"/>
      <c r="AE44" s="60"/>
      <c r="AF44" s="60"/>
      <c r="AG44" s="60"/>
      <c r="AH44" s="60"/>
      <c r="AI44" s="60"/>
      <c r="AJ44" s="63"/>
      <c r="AK44" s="63"/>
      <c r="AL44" s="63"/>
      <c r="AM44" s="63"/>
      <c r="AN44" s="63"/>
      <c r="AO44" s="63"/>
      <c r="AP44" s="63"/>
      <c r="AQ44" s="63"/>
      <c r="AR44" s="68"/>
    </row>
    <row r="45" spans="1:44" ht="12.75">
      <c r="A45" s="40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0"/>
      <c r="AC45" s="60"/>
      <c r="AD45" s="60"/>
      <c r="AE45" s="60"/>
      <c r="AF45" s="60"/>
      <c r="AG45" s="60"/>
      <c r="AH45" s="60"/>
      <c r="AI45" s="60"/>
      <c r="AJ45" s="63"/>
      <c r="AK45" s="63"/>
      <c r="AL45" s="63"/>
      <c r="AM45" s="63"/>
      <c r="AN45" s="63"/>
      <c r="AO45" s="63"/>
      <c r="AP45" s="63"/>
      <c r="AQ45" s="63"/>
      <c r="AR45" s="68"/>
    </row>
    <row r="46" spans="1:44" ht="12.75">
      <c r="A46" s="40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0"/>
      <c r="AC46" s="60"/>
      <c r="AD46" s="60"/>
      <c r="AE46" s="60"/>
      <c r="AF46" s="60"/>
      <c r="AG46" s="60"/>
      <c r="AH46" s="60"/>
      <c r="AI46" s="60"/>
      <c r="AJ46" s="63"/>
      <c r="AK46" s="63"/>
      <c r="AL46" s="63"/>
      <c r="AM46" s="63"/>
      <c r="AN46" s="63"/>
      <c r="AO46" s="63"/>
      <c r="AP46" s="63"/>
      <c r="AQ46" s="63"/>
      <c r="AR46" s="68"/>
    </row>
    <row r="47" spans="1:44" ht="12.75">
      <c r="A47" s="40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0"/>
      <c r="AC47" s="60"/>
      <c r="AD47" s="60"/>
      <c r="AE47" s="60"/>
      <c r="AF47" s="60"/>
      <c r="AG47" s="60"/>
      <c r="AH47" s="60"/>
      <c r="AI47" s="60"/>
      <c r="AJ47" s="63"/>
      <c r="AK47" s="63"/>
      <c r="AL47" s="63"/>
      <c r="AM47" s="63"/>
      <c r="AN47" s="63"/>
      <c r="AO47" s="63"/>
      <c r="AP47" s="63"/>
      <c r="AQ47" s="63"/>
      <c r="AR47" s="68"/>
    </row>
    <row r="48" spans="1:44" ht="12.75">
      <c r="A48" s="40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8"/>
    </row>
    <row r="49" spans="2:44" ht="12.7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8"/>
    </row>
    <row r="50" spans="2:44" ht="12.7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8"/>
    </row>
    <row r="51" spans="2:44" ht="12.7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8"/>
    </row>
    <row r="52" spans="2:44" ht="12.7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8"/>
    </row>
    <row r="53" spans="2:44" ht="12.7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8"/>
    </row>
    <row r="54" spans="2:44" ht="12.7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8"/>
    </row>
    <row r="55" spans="2:44" ht="12.7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8"/>
    </row>
    <row r="56" spans="2:44" ht="12.7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8"/>
    </row>
    <row r="57" spans="2:44" ht="12.7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8"/>
    </row>
    <row r="58" spans="2:44" ht="12.7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8"/>
    </row>
    <row r="59" spans="2:44" ht="12.7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8"/>
    </row>
    <row r="60" spans="2:44" ht="12.7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8"/>
    </row>
    <row r="61" spans="2:44" ht="12.7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8"/>
    </row>
    <row r="62" spans="2:44" ht="12.7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8"/>
    </row>
    <row r="63" spans="2:44" ht="12.7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8"/>
    </row>
    <row r="64" spans="2:44" ht="12.7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8"/>
    </row>
    <row r="65" spans="2:44" ht="12.7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8"/>
    </row>
    <row r="66" spans="2:44" ht="12.7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8"/>
    </row>
    <row r="67" spans="2:44" ht="12.7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8"/>
    </row>
  </sheetData>
  <sheetProtection/>
  <mergeCells count="1">
    <mergeCell ref="B14:B15"/>
  </mergeCells>
  <conditionalFormatting sqref="D10">
    <cfRule type="cellIs" priority="2" dxfId="1" operator="greaterThanOrEqual" stopIfTrue="1">
      <formula>$D$7</formula>
    </cfRule>
  </conditionalFormatting>
  <conditionalFormatting sqref="D22">
    <cfRule type="expression" priority="1" dxfId="0" stopIfTrue="1">
      <formula>$AD$4=1</formula>
    </cfRule>
  </conditionalFormatting>
  <printOptions/>
  <pageMargins left="0.75" right="0.75" top="1" bottom="1" header="0.5" footer="0.5"/>
  <pageSetup horizontalDpi="200" verticalDpi="2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Rosneft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 Андрей Станиславович</dc:creator>
  <cp:keywords/>
  <dc:description/>
  <cp:lastModifiedBy>Пользователь</cp:lastModifiedBy>
  <dcterms:created xsi:type="dcterms:W3CDTF">2009-02-18T10:47:50Z</dcterms:created>
  <dcterms:modified xsi:type="dcterms:W3CDTF">2014-05-20T15:30:53Z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-530648403</vt:i4>
  </property>
  <property fmtid="{D5CDD505-2E9C-101B-9397-08002B2CF9AE}" pid="3" name="_NewReviewCycle">
    <vt:lpwstr/>
  </property>
  <property fmtid="{D5CDD505-2E9C-101B-9397-08002B2CF9AE}" pid="4" name="_EmailSubject">
    <vt:lpwstr>HMLWprod_0.1.xls</vt:lpwstr>
  </property>
  <property fmtid="{D5CDD505-2E9C-101B-9397-08002B2CF9AE}" pid="5" name="_AuthorEmail">
    <vt:lpwstr>t_musabirov@rosneft.ru</vt:lpwstr>
  </property>
  <property fmtid="{D5CDD505-2E9C-101B-9397-08002B2CF9AE}" pid="6" name="_AuthorEmailDisplayName">
    <vt:lpwstr>Мусабиров Тимур Равилевич</vt:lpwstr>
  </property>
  <property fmtid="{D5CDD505-2E9C-101B-9397-08002B2CF9AE}" pid="7" name="_ReviewingToolsShownOnce">
    <vt:lpwstr/>
  </property>
</Properties>
</file>