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7235" windowHeight="12030"/>
  </bookViews>
  <sheets>
    <sheet name="Adjustment" sheetId="1" r:id="rId1"/>
  </sheets>
  <definedNames>
    <definedName name="Bobf">Adjustment!$E$23</definedName>
    <definedName name="Pbub">Adjustment!$E$22</definedName>
    <definedName name="Rsbf">Adjustment!$E$24</definedName>
    <definedName name="ygf">Adjustment!$E$25</definedName>
    <definedName name="yod">Adjustment!$E$19</definedName>
    <definedName name="yof">Adjustment!$E$27</definedName>
    <definedName name="_xlnm.Print_Area" localSheetId="0">Adjustment!$A$1:$V$63</definedName>
  </definedNames>
  <calcPr calcId="145621"/>
</workbook>
</file>

<file path=xl/calcChain.xml><?xml version="1.0" encoding="utf-8"?>
<calcChain xmlns="http://schemas.openxmlformats.org/spreadsheetml/2006/main">
  <c r="V18" i="1" l="1"/>
  <c r="U16" i="1" s="1"/>
  <c r="O6" i="1" l="1"/>
  <c r="O7" i="1"/>
  <c r="O8" i="1"/>
  <c r="O9" i="1"/>
  <c r="O10" i="1"/>
  <c r="O11" i="1"/>
  <c r="O12" i="1"/>
  <c r="O13" i="1"/>
  <c r="O14" i="1"/>
  <c r="O15" i="1"/>
  <c r="O5" i="1"/>
  <c r="L6" i="1"/>
  <c r="N6" i="1" s="1"/>
  <c r="L7" i="1"/>
  <c r="N7" i="1" s="1"/>
  <c r="L8" i="1"/>
  <c r="N8" i="1" s="1"/>
  <c r="L9" i="1"/>
  <c r="N9" i="1" s="1"/>
  <c r="L10" i="1"/>
  <c r="N10" i="1" s="1"/>
  <c r="L11" i="1"/>
  <c r="N11" i="1" s="1"/>
  <c r="L12" i="1"/>
  <c r="N12" i="1" s="1"/>
  <c r="L13" i="1"/>
  <c r="N13" i="1" s="1"/>
  <c r="L14" i="1"/>
  <c r="N14" i="1" s="1"/>
  <c r="L15" i="1"/>
  <c r="N15" i="1" s="1"/>
  <c r="L16" i="1"/>
  <c r="N16" i="1" s="1"/>
  <c r="L5" i="1"/>
  <c r="N5" i="1" s="1"/>
  <c r="I6" i="1"/>
  <c r="I7" i="1"/>
  <c r="I8" i="1"/>
  <c r="I9" i="1"/>
  <c r="I10" i="1"/>
  <c r="I11" i="1"/>
  <c r="I12" i="1"/>
  <c r="I13" i="1"/>
  <c r="I14" i="1"/>
  <c r="I15" i="1"/>
  <c r="I16" i="1"/>
  <c r="I5" i="1"/>
  <c r="M6" i="1"/>
  <c r="T6" i="1" s="1"/>
  <c r="M7" i="1"/>
  <c r="T7" i="1" s="1"/>
  <c r="M8" i="1"/>
  <c r="T8" i="1" s="1"/>
  <c r="M9" i="1"/>
  <c r="T9" i="1" s="1"/>
  <c r="M10" i="1"/>
  <c r="T10" i="1" s="1"/>
  <c r="M11" i="1"/>
  <c r="T11" i="1" s="1"/>
  <c r="M12" i="1"/>
  <c r="T12" i="1" s="1"/>
  <c r="M13" i="1"/>
  <c r="T13" i="1" s="1"/>
  <c r="M14" i="1"/>
  <c r="T14" i="1" s="1"/>
  <c r="M15" i="1"/>
  <c r="T15" i="1" s="1"/>
  <c r="M16" i="1"/>
  <c r="T16" i="1" s="1"/>
  <c r="M5" i="1"/>
  <c r="T5" i="1" s="1"/>
  <c r="H6" i="1"/>
  <c r="H7" i="1"/>
  <c r="H8" i="1"/>
  <c r="H9" i="1"/>
  <c r="H10" i="1"/>
  <c r="H11" i="1"/>
  <c r="H12" i="1"/>
  <c r="H13" i="1"/>
  <c r="H14" i="1"/>
  <c r="H15" i="1"/>
  <c r="H16" i="1"/>
  <c r="H5" i="1"/>
  <c r="E27" i="1"/>
  <c r="E28" i="1" s="1"/>
  <c r="E19" i="1"/>
  <c r="F13" i="1" s="1"/>
  <c r="U10" i="1" l="1"/>
  <c r="U13" i="1"/>
  <c r="U11" i="1"/>
  <c r="U9" i="1"/>
  <c r="U5" i="1"/>
  <c r="U8" i="1"/>
  <c r="U15" i="1"/>
  <c r="U7" i="1"/>
  <c r="U12" i="1"/>
  <c r="U14" i="1"/>
  <c r="U6" i="1"/>
  <c r="J13" i="1"/>
  <c r="J12" i="1"/>
  <c r="J10" i="1"/>
  <c r="J5" i="1"/>
  <c r="J9" i="1"/>
  <c r="J11" i="1"/>
  <c r="J16" i="1"/>
  <c r="J8" i="1"/>
  <c r="J15" i="1"/>
  <c r="J7" i="1"/>
  <c r="J14" i="1"/>
  <c r="J6" i="1"/>
  <c r="P5" i="1"/>
  <c r="V5" i="1" s="1"/>
  <c r="W5" i="1" s="1"/>
  <c r="P9" i="1"/>
  <c r="V9" i="1" s="1"/>
  <c r="P16" i="1"/>
  <c r="V16" i="1" s="1"/>
  <c r="W16" i="1" s="1"/>
  <c r="P8" i="1"/>
  <c r="V8" i="1" s="1"/>
  <c r="P15" i="1"/>
  <c r="V15" i="1" s="1"/>
  <c r="P7" i="1"/>
  <c r="V7" i="1" s="1"/>
  <c r="P6" i="1"/>
  <c r="V6" i="1" s="1"/>
  <c r="P13" i="1"/>
  <c r="V13" i="1" s="1"/>
  <c r="W13" i="1" s="1"/>
  <c r="P12" i="1"/>
  <c r="V12" i="1" s="1"/>
  <c r="W12" i="1" s="1"/>
  <c r="P14" i="1"/>
  <c r="V14" i="1" s="1"/>
  <c r="W14" i="1" s="1"/>
  <c r="P11" i="1"/>
  <c r="V11" i="1" s="1"/>
  <c r="W11" i="1" s="1"/>
  <c r="P10" i="1"/>
  <c r="V10" i="1" s="1"/>
  <c r="W10" i="1" s="1"/>
  <c r="F10" i="1"/>
  <c r="F12" i="1"/>
  <c r="F11" i="1"/>
  <c r="F5" i="1"/>
  <c r="F7" i="1"/>
  <c r="F6" i="1"/>
  <c r="F9" i="1"/>
  <c r="F16" i="1"/>
  <c r="F8" i="1"/>
  <c r="F15" i="1"/>
  <c r="F14" i="1"/>
  <c r="W8" i="1" l="1"/>
  <c r="W9" i="1"/>
  <c r="W6" i="1"/>
  <c r="W7" i="1"/>
  <c r="W15" i="1"/>
  <c r="R10" i="1"/>
  <c r="Q10" i="1"/>
  <c r="R11" i="1"/>
  <c r="Q11" i="1"/>
  <c r="R9" i="1"/>
  <c r="Q9" i="1"/>
  <c r="R5" i="1"/>
  <c r="Q5" i="1"/>
  <c r="R6" i="1"/>
  <c r="Q6" i="1"/>
  <c r="R14" i="1"/>
  <c r="Q14" i="1"/>
  <c r="R12" i="1"/>
  <c r="Q12" i="1"/>
  <c r="R13" i="1"/>
  <c r="Q13" i="1"/>
  <c r="R8" i="1"/>
  <c r="Q8" i="1"/>
  <c r="R16" i="1"/>
  <c r="Q16" i="1"/>
  <c r="R7" i="1"/>
  <c r="Q7" i="1"/>
  <c r="R15" i="1"/>
  <c r="Q15" i="1"/>
</calcChain>
</file>

<file path=xl/comments1.xml><?xml version="1.0" encoding="utf-8"?>
<comments xmlns="http://schemas.openxmlformats.org/spreadsheetml/2006/main">
  <authors>
    <author>sa</author>
  </authors>
  <commentList>
    <comment ref="H3" authorId="0">
      <text>
        <r>
          <rPr>
            <b/>
            <sz val="9"/>
            <color indexed="81"/>
            <rFont val="Tahoma"/>
            <family val="2"/>
            <charset val="204"/>
          </rPr>
          <t>Fanchi "Principles of Applied Reservoir Simulation" page 312
Tarek Ahmed "Reservoir Engineering Handbook" page 151
Pierre Donnez "Essentials of Reservoir Engineering" page 156</t>
        </r>
      </text>
    </comment>
  </commentList>
</comments>
</file>

<file path=xl/sharedStrings.xml><?xml version="1.0" encoding="utf-8"?>
<sst xmlns="http://schemas.openxmlformats.org/spreadsheetml/2006/main" count="55" uniqueCount="42">
  <si>
    <t>#</t>
  </si>
  <si>
    <t>P</t>
  </si>
  <si>
    <t>Rsd</t>
  </si>
  <si>
    <t>γg</t>
  </si>
  <si>
    <t>γAPI</t>
  </si>
  <si>
    <t>γop</t>
  </si>
  <si>
    <t>Flash liberation test</t>
  </si>
  <si>
    <t>Pbub</t>
  </si>
  <si>
    <t>psi</t>
  </si>
  <si>
    <t>scf/STB</t>
  </si>
  <si>
    <t>Pressure</t>
  </si>
  <si>
    <t>Bo</t>
  </si>
  <si>
    <t>oil FVF</t>
  </si>
  <si>
    <t>solution GOR</t>
  </si>
  <si>
    <t>stock tank oil gravity, API</t>
  </si>
  <si>
    <t>Differential liberation test</t>
  </si>
  <si>
    <t>bubble point pressure, psi</t>
  </si>
  <si>
    <t>bubble point oil FVF</t>
  </si>
  <si>
    <t>Bobf</t>
  </si>
  <si>
    <t>Rsbf</t>
  </si>
  <si>
    <t>bubble point solution GOR</t>
  </si>
  <si>
    <t>gas relative density (air=1)</t>
  </si>
  <si>
    <t>oil relative density at res. P and T</t>
  </si>
  <si>
    <t>Rs</t>
  </si>
  <si>
    <t>gas rel.density</t>
  </si>
  <si>
    <t>http://www.onepetro.org/mslib/servlet/onepetropreview?id=00068234</t>
  </si>
  <si>
    <t>Adjustment of Differential Liberation Data to Separator Conditions (Muhammad A. Al-Marhoun, 2003)</t>
  </si>
  <si>
    <t>ci</t>
  </si>
  <si>
    <t>γgf</t>
  </si>
  <si>
    <t>γof</t>
  </si>
  <si>
    <t>γod</t>
  </si>
  <si>
    <t>stock tank oil relative density (water=1)</t>
  </si>
  <si>
    <t>Adjustment (current)</t>
  </si>
  <si>
    <t>Adjustment (new)</t>
  </si>
  <si>
    <t>oil relative 
density at P</t>
  </si>
  <si>
    <t>scf/STB to m3/m3</t>
  </si>
  <si>
    <t>spec_gas to lb/ft3</t>
  </si>
  <si>
    <t>lb/ft3 to kg/m3</t>
  </si>
  <si>
    <t>gas density</t>
  </si>
  <si>
    <t>live oil density</t>
  </si>
  <si>
    <t>dead oil density</t>
  </si>
  <si>
    <t>SI units, kg/m3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</si>
</sst>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"/>
    <numFmt numFmtId="167" formatCode="0.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Tahoma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B4A1E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7">
    <xf numFmtId="0" fontId="0" fillId="0" borderId="0" xfId="0"/>
    <xf numFmtId="0" fontId="3" fillId="3" borderId="0" xfId="0" applyFont="1" applyFill="1"/>
    <xf numFmtId="0" fontId="0" fillId="3" borderId="0" xfId="0" applyFill="1"/>
    <xf numFmtId="0" fontId="4" fillId="3" borderId="0" xfId="1" applyFill="1"/>
    <xf numFmtId="0" fontId="7" fillId="3" borderId="0" xfId="0" applyFont="1" applyFill="1"/>
    <xf numFmtId="0" fontId="0" fillId="3" borderId="1" xfId="0" applyFill="1" applyBorder="1"/>
    <xf numFmtId="0" fontId="0" fillId="3" borderId="0" xfId="0" applyFill="1" applyBorder="1"/>
    <xf numFmtId="164" fontId="0" fillId="3" borderId="0" xfId="0" applyNumberFormat="1" applyFill="1" applyBorder="1"/>
    <xf numFmtId="0" fontId="0" fillId="3" borderId="0" xfId="0" applyFill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0" fillId="3" borderId="0" xfId="0" applyNumberFormat="1" applyFill="1" applyBorder="1"/>
    <xf numFmtId="165" fontId="0" fillId="3" borderId="0" xfId="0" applyNumberFormat="1" applyFill="1" applyBorder="1"/>
    <xf numFmtId="0" fontId="6" fillId="5" borderId="2" xfId="0" applyFont="1" applyFill="1" applyBorder="1"/>
    <xf numFmtId="0" fontId="7" fillId="5" borderId="3" xfId="0" applyFont="1" applyFill="1" applyBorder="1"/>
    <xf numFmtId="0" fontId="7" fillId="5" borderId="4" xfId="0" applyFont="1" applyFill="1" applyBorder="1"/>
    <xf numFmtId="0" fontId="9" fillId="7" borderId="6" xfId="0" applyFont="1" applyFill="1" applyBorder="1" applyAlignment="1">
      <alignment horizontal="center"/>
    </xf>
    <xf numFmtId="0" fontId="0" fillId="3" borderId="9" xfId="0" applyFill="1" applyBorder="1"/>
    <xf numFmtId="0" fontId="0" fillId="3" borderId="10" xfId="0" applyFill="1" applyBorder="1"/>
    <xf numFmtId="167" fontId="0" fillId="3" borderId="11" xfId="0" applyNumberFormat="1" applyFill="1" applyBorder="1"/>
    <xf numFmtId="0" fontId="3" fillId="3" borderId="10" xfId="0" applyFont="1" applyFill="1" applyBorder="1"/>
    <xf numFmtId="0" fontId="3" fillId="3" borderId="12" xfId="0" applyFont="1" applyFill="1" applyBorder="1"/>
    <xf numFmtId="0" fontId="0" fillId="3" borderId="13" xfId="0" applyFill="1" applyBorder="1"/>
    <xf numFmtId="0" fontId="0" fillId="3" borderId="14" xfId="0" applyFill="1" applyBorder="1"/>
    <xf numFmtId="0" fontId="6" fillId="4" borderId="2" xfId="0" applyFont="1" applyFill="1" applyBorder="1"/>
    <xf numFmtId="0" fontId="7" fillId="4" borderId="3" xfId="0" applyFont="1" applyFill="1" applyBorder="1"/>
    <xf numFmtId="0" fontId="7" fillId="4" borderId="4" xfId="0" applyFont="1" applyFill="1" applyBorder="1"/>
    <xf numFmtId="0" fontId="3" fillId="6" borderId="9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6" fillId="8" borderId="2" xfId="0" applyFont="1" applyFill="1" applyBorder="1"/>
    <xf numFmtId="0" fontId="7" fillId="8" borderId="3" xfId="0" applyFont="1" applyFill="1" applyBorder="1"/>
    <xf numFmtId="0" fontId="7" fillId="8" borderId="4" xfId="0" applyFont="1" applyFill="1" applyBorder="1"/>
    <xf numFmtId="0" fontId="3" fillId="2" borderId="9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3" borderId="10" xfId="0" applyFont="1" applyFill="1" applyBorder="1"/>
    <xf numFmtId="0" fontId="0" fillId="3" borderId="11" xfId="0" applyFill="1" applyBorder="1"/>
    <xf numFmtId="0" fontId="8" fillId="3" borderId="10" xfId="0" applyFont="1" applyFill="1" applyBorder="1"/>
    <xf numFmtId="0" fontId="1" fillId="3" borderId="12" xfId="0" applyFont="1" applyFill="1" applyBorder="1"/>
    <xf numFmtId="167" fontId="0" fillId="9" borderId="6" xfId="0" applyNumberFormat="1" applyFill="1" applyBorder="1"/>
    <xf numFmtId="164" fontId="0" fillId="9" borderId="9" xfId="0" applyNumberFormat="1" applyFill="1" applyBorder="1"/>
    <xf numFmtId="2" fontId="0" fillId="9" borderId="1" xfId="0" applyNumberFormat="1" applyFill="1" applyBorder="1"/>
    <xf numFmtId="165" fontId="0" fillId="9" borderId="6" xfId="0" applyNumberFormat="1" applyFill="1" applyBorder="1"/>
    <xf numFmtId="164" fontId="0" fillId="9" borderId="15" xfId="0" applyNumberFormat="1" applyFill="1" applyBorder="1"/>
    <xf numFmtId="2" fontId="0" fillId="9" borderId="16" xfId="0" applyNumberFormat="1" applyFill="1" applyBorder="1"/>
    <xf numFmtId="165" fontId="0" fillId="9" borderId="17" xfId="0" applyNumberFormat="1" applyFill="1" applyBorder="1"/>
    <xf numFmtId="0" fontId="0" fillId="9" borderId="9" xfId="0" applyFill="1" applyBorder="1"/>
    <xf numFmtId="164" fontId="0" fillId="9" borderId="1" xfId="0" applyNumberFormat="1" applyFill="1" applyBorder="1"/>
    <xf numFmtId="166" fontId="0" fillId="9" borderId="1" xfId="0" applyNumberFormat="1" applyFill="1" applyBorder="1"/>
    <xf numFmtId="165" fontId="0" fillId="9" borderId="1" xfId="0" applyNumberFormat="1" applyFill="1" applyBorder="1"/>
    <xf numFmtId="166" fontId="0" fillId="9" borderId="9" xfId="0" applyNumberFormat="1" applyFill="1" applyBorder="1"/>
    <xf numFmtId="165" fontId="0" fillId="9" borderId="13" xfId="0" applyNumberFormat="1" applyFill="1" applyBorder="1"/>
    <xf numFmtId="167" fontId="0" fillId="9" borderId="11" xfId="0" applyNumberFormat="1" applyFill="1" applyBorder="1"/>
    <xf numFmtId="167" fontId="0" fillId="9" borderId="14" xfId="0" applyNumberFormat="1" applyFill="1" applyBorder="1"/>
    <xf numFmtId="0" fontId="0" fillId="7" borderId="1" xfId="0" applyFill="1" applyBorder="1" applyAlignment="1">
      <alignment horizontal="center" vertical="center"/>
    </xf>
    <xf numFmtId="0" fontId="10" fillId="3" borderId="0" xfId="0" applyFont="1" applyFill="1"/>
    <xf numFmtId="166" fontId="10" fillId="9" borderId="9" xfId="0" applyNumberFormat="1" applyFont="1" applyFill="1" applyBorder="1"/>
    <xf numFmtId="164" fontId="10" fillId="9" borderId="1" xfId="0" applyNumberFormat="1" applyFont="1" applyFill="1" applyBorder="1"/>
    <xf numFmtId="166" fontId="10" fillId="9" borderId="1" xfId="0" applyNumberFormat="1" applyFont="1" applyFill="1" applyBorder="1"/>
    <xf numFmtId="165" fontId="10" fillId="9" borderId="1" xfId="0" applyNumberFormat="1" applyFont="1" applyFill="1" applyBorder="1"/>
    <xf numFmtId="165" fontId="10" fillId="9" borderId="6" xfId="0" applyNumberFormat="1" applyFont="1" applyFill="1" applyBorder="1"/>
    <xf numFmtId="0" fontId="10" fillId="9" borderId="15" xfId="0" applyFont="1" applyFill="1" applyBorder="1"/>
    <xf numFmtId="164" fontId="10" fillId="9" borderId="16" xfId="0" applyNumberFormat="1" applyFont="1" applyFill="1" applyBorder="1"/>
    <xf numFmtId="166" fontId="10" fillId="9" borderId="16" xfId="0" applyNumberFormat="1" applyFont="1" applyFill="1" applyBorder="1"/>
    <xf numFmtId="0" fontId="10" fillId="9" borderId="16" xfId="0" applyFont="1" applyFill="1" applyBorder="1"/>
    <xf numFmtId="165" fontId="10" fillId="9" borderId="16" xfId="0" applyNumberFormat="1" applyFont="1" applyFill="1" applyBorder="1"/>
    <xf numFmtId="165" fontId="10" fillId="9" borderId="17" xfId="0" applyNumberFormat="1" applyFont="1" applyFill="1" applyBorder="1"/>
    <xf numFmtId="0" fontId="10" fillId="3" borderId="0" xfId="0" applyFont="1" applyFill="1" applyBorder="1"/>
    <xf numFmtId="164" fontId="10" fillId="3" borderId="0" xfId="0" applyNumberFormat="1" applyFont="1" applyFill="1" applyBorder="1"/>
    <xf numFmtId="166" fontId="10" fillId="3" borderId="0" xfId="0" applyNumberFormat="1" applyFont="1" applyFill="1" applyBorder="1"/>
    <xf numFmtId="165" fontId="10" fillId="3" borderId="0" xfId="0" applyNumberFormat="1" applyFont="1" applyFill="1" applyBorder="1"/>
    <xf numFmtId="0" fontId="10" fillId="3" borderId="10" xfId="0" applyFont="1" applyFill="1" applyBorder="1"/>
    <xf numFmtId="0" fontId="10" fillId="3" borderId="13" xfId="0" applyFont="1" applyFill="1" applyBorder="1"/>
    <xf numFmtId="0" fontId="10" fillId="3" borderId="14" xfId="0" applyFont="1" applyFill="1" applyBorder="1"/>
    <xf numFmtId="0" fontId="10" fillId="3" borderId="11" xfId="0" applyFont="1" applyFill="1" applyBorder="1"/>
    <xf numFmtId="0" fontId="6" fillId="8" borderId="2" xfId="0" applyFont="1" applyFill="1" applyBorder="1" applyAlignment="1"/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10" fillId="3" borderId="12" xfId="0" applyFont="1" applyFill="1" applyBorder="1"/>
    <xf numFmtId="0" fontId="10" fillId="3" borderId="0" xfId="0" applyFont="1" applyFill="1" applyBorder="1" applyAlignment="1"/>
    <xf numFmtId="0" fontId="0" fillId="3" borderId="13" xfId="0" applyFill="1" applyBorder="1" applyAlignment="1"/>
    <xf numFmtId="2" fontId="0" fillId="9" borderId="9" xfId="0" applyNumberFormat="1" applyFill="1" applyBorder="1"/>
    <xf numFmtId="164" fontId="0" fillId="9" borderId="6" xfId="0" applyNumberFormat="1" applyFill="1" applyBorder="1"/>
    <xf numFmtId="2" fontId="10" fillId="9" borderId="9" xfId="0" applyNumberFormat="1" applyFont="1" applyFill="1" applyBorder="1"/>
    <xf numFmtId="164" fontId="10" fillId="9" borderId="6" xfId="0" applyNumberFormat="1" applyFont="1" applyFill="1" applyBorder="1"/>
    <xf numFmtId="0" fontId="10" fillId="9" borderId="1" xfId="0" applyFont="1" applyFill="1" applyBorder="1"/>
    <xf numFmtId="0" fontId="0" fillId="7" borderId="5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3B4A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Oil FVF</a:t>
            </a:r>
            <a:endParaRPr lang="ru-RU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3085755584899718E-2"/>
          <c:y val="0.14423896128028246"/>
          <c:w val="0.8273657097210676"/>
          <c:h val="0.74764747326938119"/>
        </c:manualLayout>
      </c:layout>
      <c:scatterChart>
        <c:scatterStyle val="lineMarker"/>
        <c:varyColors val="0"/>
        <c:ser>
          <c:idx val="0"/>
          <c:order val="0"/>
          <c:tx>
            <c:v>Bod</c:v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Adjustment!$C$5:$C$16</c:f>
              <c:numCache>
                <c:formatCode>General</c:formatCode>
                <c:ptCount val="12"/>
                <c:pt idx="0">
                  <c:v>1.3420000000000001</c:v>
                </c:pt>
                <c:pt idx="1">
                  <c:v>1.3160000000000001</c:v>
                </c:pt>
                <c:pt idx="2">
                  <c:v>1.296</c:v>
                </c:pt>
                <c:pt idx="3">
                  <c:v>1.274</c:v>
                </c:pt>
                <c:pt idx="4">
                  <c:v>1.2549999999999999</c:v>
                </c:pt>
                <c:pt idx="5">
                  <c:v>1.2350000000000001</c:v>
                </c:pt>
                <c:pt idx="6">
                  <c:v>1.2130000000000001</c:v>
                </c:pt>
                <c:pt idx="7">
                  <c:v>1.1919999999999999</c:v>
                </c:pt>
                <c:pt idx="8">
                  <c:v>1.171</c:v>
                </c:pt>
                <c:pt idx="9">
                  <c:v>1.145</c:v>
                </c:pt>
                <c:pt idx="10">
                  <c:v>1.1259999999999999</c:v>
                </c:pt>
                <c:pt idx="11">
                  <c:v>1.0529999999999999</c:v>
                </c:pt>
              </c:numCache>
            </c:numRef>
          </c:yVal>
          <c:smooth val="0"/>
        </c:ser>
        <c:ser>
          <c:idx val="1"/>
          <c:order val="1"/>
          <c:tx>
            <c:v>Bo_cur</c:v>
          </c:tx>
          <c:marker>
            <c:symbol val="square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Adjustment!$I$5:$I$16</c:f>
              <c:numCache>
                <c:formatCode>0.00</c:formatCode>
                <c:ptCount val="12"/>
                <c:pt idx="0">
                  <c:v>1.2889999999999999</c:v>
                </c:pt>
                <c:pt idx="1">
                  <c:v>1.2640268256333829</c:v>
                </c:pt>
                <c:pt idx="2">
                  <c:v>1.2448166915052161</c:v>
                </c:pt>
                <c:pt idx="3">
                  <c:v>1.2236855439642325</c:v>
                </c:pt>
                <c:pt idx="4">
                  <c:v>1.2054359165424735</c:v>
                </c:pt>
                <c:pt idx="5">
                  <c:v>1.186225782414307</c:v>
                </c:pt>
                <c:pt idx="6">
                  <c:v>1.1650946348733233</c:v>
                </c:pt>
                <c:pt idx="7">
                  <c:v>1.1449239940387479</c:v>
                </c:pt>
                <c:pt idx="8">
                  <c:v>1.1247533532041729</c:v>
                </c:pt>
                <c:pt idx="9">
                  <c:v>1.0997801788375559</c:v>
                </c:pt>
                <c:pt idx="10">
                  <c:v>1.0815305514157971</c:v>
                </c:pt>
                <c:pt idx="11">
                  <c:v>1.011413561847988</c:v>
                </c:pt>
              </c:numCache>
            </c:numRef>
          </c:yVal>
          <c:smooth val="0"/>
        </c:ser>
        <c:ser>
          <c:idx val="2"/>
          <c:order val="2"/>
          <c:tx>
            <c:v>Bo_new</c:v>
          </c:tx>
          <c:marker>
            <c:symbol val="square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Adjustment!$N$5:$N$16</c:f>
              <c:numCache>
                <c:formatCode>0.000</c:formatCode>
                <c:ptCount val="12"/>
                <c:pt idx="0">
                  <c:v>1.2889999999999999</c:v>
                </c:pt>
                <c:pt idx="1">
                  <c:v>1.2677681660899653</c:v>
                </c:pt>
                <c:pt idx="2">
                  <c:v>1.2514359861591695</c:v>
                </c:pt>
                <c:pt idx="3">
                  <c:v>1.2334705882352941</c:v>
                </c:pt>
                <c:pt idx="4">
                  <c:v>1.2179550173010378</c:v>
                </c:pt>
                <c:pt idx="5">
                  <c:v>1.2016228373702422</c:v>
                </c:pt>
                <c:pt idx="6">
                  <c:v>1.1836574394463668</c:v>
                </c:pt>
                <c:pt idx="7">
                  <c:v>1.166508650519031</c:v>
                </c:pt>
                <c:pt idx="8">
                  <c:v>1.1493598615916956</c:v>
                </c:pt>
                <c:pt idx="9">
                  <c:v>1.1281280276816608</c:v>
                </c:pt>
                <c:pt idx="10">
                  <c:v>1.1126124567474047</c:v>
                </c:pt>
                <c:pt idx="11">
                  <c:v>1.0529999999999999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02560"/>
        <c:axId val="97204480"/>
      </c:scatterChart>
      <c:valAx>
        <c:axId val="972025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7204480"/>
        <c:crosses val="autoZero"/>
        <c:crossBetween val="midCat"/>
      </c:valAx>
      <c:valAx>
        <c:axId val="97204480"/>
        <c:scaling>
          <c:orientation val="minMax"/>
          <c:min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2025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864228927905759"/>
          <c:y val="0.61434541921197905"/>
          <c:w val="0.17395094132385333"/>
          <c:h val="0.2133677095672775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Solution GOR</a:t>
            </a:r>
            <a:endParaRPr lang="ru-RU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3085755584899718E-2"/>
          <c:y val="0.14423896128028246"/>
          <c:w val="0.84668938121865189"/>
          <c:h val="0.78304570335787671"/>
        </c:manualLayout>
      </c:layout>
      <c:scatterChart>
        <c:scatterStyle val="lineMarker"/>
        <c:varyColors val="0"/>
        <c:ser>
          <c:idx val="0"/>
          <c:order val="0"/>
          <c:tx>
            <c:v>Rsd</c:v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Adjustment!$D$5:$D$16</c:f>
              <c:numCache>
                <c:formatCode>General</c:formatCode>
                <c:ptCount val="12"/>
                <c:pt idx="0">
                  <c:v>586</c:v>
                </c:pt>
                <c:pt idx="1">
                  <c:v>524</c:v>
                </c:pt>
                <c:pt idx="2">
                  <c:v>477</c:v>
                </c:pt>
                <c:pt idx="3">
                  <c:v>426</c:v>
                </c:pt>
                <c:pt idx="4">
                  <c:v>381</c:v>
                </c:pt>
                <c:pt idx="5">
                  <c:v>334</c:v>
                </c:pt>
                <c:pt idx="6">
                  <c:v>283</c:v>
                </c:pt>
                <c:pt idx="7">
                  <c:v>235</c:v>
                </c:pt>
                <c:pt idx="8">
                  <c:v>187</c:v>
                </c:pt>
                <c:pt idx="9">
                  <c:v>131</c:v>
                </c:pt>
                <c:pt idx="10">
                  <c:v>92</c:v>
                </c:pt>
                <c:pt idx="11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Rs_cur</c:v>
          </c:tx>
          <c:marker>
            <c:symbol val="square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Adjustment!$H$5:$H$16</c:f>
              <c:numCache>
                <c:formatCode>0.0</c:formatCode>
                <c:ptCount val="12"/>
                <c:pt idx="0">
                  <c:v>526</c:v>
                </c:pt>
                <c:pt idx="1">
                  <c:v>466.44858420268258</c:v>
                </c:pt>
                <c:pt idx="2">
                  <c:v>421.30476900149029</c:v>
                </c:pt>
                <c:pt idx="3">
                  <c:v>372.31892697466469</c:v>
                </c:pt>
                <c:pt idx="4">
                  <c:v>329.0961251862891</c:v>
                </c:pt>
                <c:pt idx="5">
                  <c:v>283.95230998509692</c:v>
                </c:pt>
                <c:pt idx="6">
                  <c:v>234.96646795827127</c:v>
                </c:pt>
                <c:pt idx="7">
                  <c:v>188.86214605067067</c:v>
                </c:pt>
                <c:pt idx="8">
                  <c:v>142.75782414307008</c:v>
                </c:pt>
                <c:pt idx="9">
                  <c:v>88.969448584202723</c:v>
                </c:pt>
                <c:pt idx="10">
                  <c:v>51.509687034277249</c:v>
                </c:pt>
                <c:pt idx="11">
                  <c:v>-36.856929955290525</c:v>
                </c:pt>
              </c:numCache>
            </c:numRef>
          </c:yVal>
          <c:smooth val="0"/>
        </c:ser>
        <c:ser>
          <c:idx val="2"/>
          <c:order val="2"/>
          <c:tx>
            <c:v>Rs_new</c:v>
          </c:tx>
          <c:marker>
            <c:symbol val="square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Adjustment!$M$5:$M$16</c:f>
              <c:numCache>
                <c:formatCode>0.0</c:formatCode>
                <c:ptCount val="12"/>
                <c:pt idx="0">
                  <c:v>526</c:v>
                </c:pt>
                <c:pt idx="1">
                  <c:v>470.34812286689419</c:v>
                </c:pt>
                <c:pt idx="2">
                  <c:v>428.16040955631399</c:v>
                </c:pt>
                <c:pt idx="3">
                  <c:v>382.38225255972696</c:v>
                </c:pt>
                <c:pt idx="4">
                  <c:v>341.98976109215016</c:v>
                </c:pt>
                <c:pt idx="5">
                  <c:v>299.80204778156997</c:v>
                </c:pt>
                <c:pt idx="6">
                  <c:v>254.02389078498294</c:v>
                </c:pt>
                <c:pt idx="7">
                  <c:v>210.93856655290102</c:v>
                </c:pt>
                <c:pt idx="8">
                  <c:v>167.85324232081911</c:v>
                </c:pt>
                <c:pt idx="9">
                  <c:v>117.58703071672355</c:v>
                </c:pt>
                <c:pt idx="10">
                  <c:v>82.580204778156997</c:v>
                </c:pt>
                <c:pt idx="1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30208"/>
        <c:axId val="97236480"/>
      </c:scatterChart>
      <c:valAx>
        <c:axId val="972302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7236480"/>
        <c:crosses val="autoZero"/>
        <c:crossBetween val="midCat"/>
      </c:valAx>
      <c:valAx>
        <c:axId val="97236480"/>
        <c:scaling>
          <c:orientation val="minMax"/>
          <c:max val="6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230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416333827836753"/>
          <c:y val="0.60647914585898"/>
          <c:w val="0.17412040886193575"/>
          <c:h val="0.2133677095672775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Gas</a:t>
            </a:r>
            <a:r>
              <a:rPr lang="en-US" baseline="0"/>
              <a:t> relative density</a:t>
            </a:r>
            <a:endParaRPr lang="ru-RU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3085755584899718E-2"/>
          <c:y val="0.14423896128028246"/>
          <c:w val="0.84668938121865189"/>
          <c:h val="0.78304570335787671"/>
        </c:manualLayout>
      </c:layout>
      <c:scatterChart>
        <c:scatterStyle val="lineMarker"/>
        <c:varyColors val="0"/>
        <c:ser>
          <c:idx val="0"/>
          <c:order val="0"/>
          <c:tx>
            <c:v>ygd</c:v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Adjustment!$E$5:$E$15</c:f>
              <c:numCache>
                <c:formatCode>General</c:formatCode>
                <c:ptCount val="11"/>
                <c:pt idx="0">
                  <c:v>0.93359999999999999</c:v>
                </c:pt>
                <c:pt idx="1">
                  <c:v>0.9607</c:v>
                </c:pt>
                <c:pt idx="2">
                  <c:v>0.9859</c:v>
                </c:pt>
                <c:pt idx="3">
                  <c:v>1.0189999999999999</c:v>
                </c:pt>
                <c:pt idx="4">
                  <c:v>1.0550999999999999</c:v>
                </c:pt>
                <c:pt idx="5">
                  <c:v>1.1016999999999999</c:v>
                </c:pt>
                <c:pt idx="6">
                  <c:v>1.1673</c:v>
                </c:pt>
                <c:pt idx="7">
                  <c:v>1.2503</c:v>
                </c:pt>
                <c:pt idx="8">
                  <c:v>1.3651</c:v>
                </c:pt>
                <c:pt idx="9">
                  <c:v>1.5552999999999999</c:v>
                </c:pt>
                <c:pt idx="10">
                  <c:v>1.742</c:v>
                </c:pt>
              </c:numCache>
            </c:numRef>
          </c:yVal>
          <c:smooth val="0"/>
        </c:ser>
        <c:ser>
          <c:idx val="2"/>
          <c:order val="1"/>
          <c:tx>
            <c:v>yg_new</c:v>
          </c:tx>
          <c:marker>
            <c:symbol val="square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Adjustment!$O$5:$O$16</c:f>
              <c:numCache>
                <c:formatCode>0.0000</c:formatCode>
                <c:ptCount val="12"/>
                <c:pt idx="0">
                  <c:v>0.8024</c:v>
                </c:pt>
                <c:pt idx="1">
                  <c:v>0.83389821870361214</c:v>
                </c:pt>
                <c:pt idx="2">
                  <c:v>0.86318807521029195</c:v>
                </c:pt>
                <c:pt idx="3">
                  <c:v>0.9016600692726372</c:v>
                </c:pt>
                <c:pt idx="4">
                  <c:v>0.94361895101434923</c:v>
                </c:pt>
                <c:pt idx="5">
                  <c:v>0.99778193963384454</c:v>
                </c:pt>
                <c:pt idx="6">
                  <c:v>1.0740285502226621</c:v>
                </c:pt>
                <c:pt idx="7">
                  <c:v>1.170499109351806</c:v>
                </c:pt>
                <c:pt idx="8">
                  <c:v>1.3039306778822364</c:v>
                </c:pt>
                <c:pt idx="9">
                  <c:v>1.524999356754082</c:v>
                </c:pt>
                <c:pt idx="10">
                  <c:v>1.742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758208"/>
        <c:axId val="184968704"/>
      </c:scatterChart>
      <c:valAx>
        <c:axId val="1837582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4968704"/>
        <c:crosses val="autoZero"/>
        <c:crossBetween val="midCat"/>
      </c:valAx>
      <c:valAx>
        <c:axId val="184968704"/>
        <c:scaling>
          <c:orientation val="minMax"/>
          <c:min val="0.6000000000000000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3758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588176477940268"/>
          <c:y val="0.20529920485603018"/>
          <c:w val="0.18240198236090055"/>
          <c:h val="0.1622369327727839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Oil relative density</a:t>
            </a:r>
            <a:endParaRPr lang="ru-RU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534400591230445"/>
          <c:y val="0.14423896128028246"/>
          <c:w val="0.80804203822348286"/>
          <c:h val="0.74764747326938119"/>
        </c:manualLayout>
      </c:layout>
      <c:scatterChart>
        <c:scatterStyle val="lineMarker"/>
        <c:varyColors val="0"/>
        <c:ser>
          <c:idx val="2"/>
          <c:order val="0"/>
          <c:tx>
            <c:v>Adjusted stock tank oil relative density</c:v>
          </c:tx>
          <c:marker>
            <c:symbol val="square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Adjustment!$P$5:$P$16</c:f>
              <c:numCache>
                <c:formatCode>0.0000</c:formatCode>
                <c:ptCount val="12"/>
                <c:pt idx="0">
                  <c:v>0.83431603773584906</c:v>
                </c:pt>
                <c:pt idx="1">
                  <c:v>0.83525708314534919</c:v>
                </c:pt>
                <c:pt idx="2">
                  <c:v>0.83598096422958001</c:v>
                </c:pt>
                <c:pt idx="3">
                  <c:v>0.83677723342223398</c:v>
                </c:pt>
                <c:pt idx="4">
                  <c:v>0.83746492045225329</c:v>
                </c:pt>
                <c:pt idx="5">
                  <c:v>0.83818880153648412</c:v>
                </c:pt>
                <c:pt idx="6">
                  <c:v>0.83898507072913808</c:v>
                </c:pt>
                <c:pt idx="7">
                  <c:v>0.83974514586758053</c:v>
                </c:pt>
                <c:pt idx="8">
                  <c:v>0.84050522100602298</c:v>
                </c:pt>
                <c:pt idx="9">
                  <c:v>0.841446266415523</c:v>
                </c:pt>
                <c:pt idx="10">
                  <c:v>0.84213395344554243</c:v>
                </c:pt>
                <c:pt idx="11">
                  <c:v>0.84477611940298503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68864"/>
        <c:axId val="97270784"/>
      </c:scatterChart>
      <c:valAx>
        <c:axId val="972688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7270784"/>
        <c:crosses val="autoZero"/>
        <c:crossBetween val="midCat"/>
      </c:valAx>
      <c:valAx>
        <c:axId val="97270784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crossAx val="97268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920819680148679"/>
          <c:y val="0.20136606817953065"/>
          <c:w val="0.35631502583916141"/>
          <c:h val="0.2094345728907780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Live-oil relative density</a:t>
            </a:r>
            <a:endParaRPr lang="ru-RU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277671812762535"/>
          <c:y val="0.14423896128028246"/>
          <c:w val="0.80528151372382795"/>
          <c:h val="0.74764747326938119"/>
        </c:manualLayout>
      </c:layout>
      <c:scatterChart>
        <c:scatterStyle val="lineMarker"/>
        <c:varyColors val="0"/>
        <c:ser>
          <c:idx val="0"/>
          <c:order val="0"/>
          <c:tx>
            <c:v>diff.lib</c:v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Adjustment!$F$5:$F$16</c:f>
              <c:numCache>
                <c:formatCode>0.00000</c:formatCode>
                <c:ptCount val="12"/>
                <c:pt idx="0">
                  <c:v>0.71836188688747016</c:v>
                </c:pt>
                <c:pt idx="1">
                  <c:v>0.72531823845211618</c:v>
                </c:pt>
                <c:pt idx="2">
                  <c:v>0.73093820740971072</c:v>
                </c:pt>
                <c:pt idx="3">
                  <c:v>0.73736939670563972</c:v>
                </c:pt>
                <c:pt idx="4">
                  <c:v>0.74295666550038653</c:v>
                </c:pt>
                <c:pt idx="5">
                  <c:v>0.74898226704695137</c:v>
                </c:pt>
                <c:pt idx="6">
                  <c:v>0.75580504996124076</c:v>
                </c:pt>
                <c:pt idx="7">
                  <c:v>0.76244042651257138</c:v>
                </c:pt>
                <c:pt idx="8">
                  <c:v>0.76893747737231855</c:v>
                </c:pt>
                <c:pt idx="9">
                  <c:v>0.77658722864889518</c:v>
                </c:pt>
                <c:pt idx="10">
                  <c:v>0.78127324280904542</c:v>
                </c:pt>
                <c:pt idx="11">
                  <c:v>0.80225652364955846</c:v>
                </c:pt>
              </c:numCache>
            </c:numRef>
          </c:yVal>
          <c:smooth val="0"/>
        </c:ser>
        <c:ser>
          <c:idx val="1"/>
          <c:order val="1"/>
          <c:tx>
            <c:v>current</c:v>
          </c:tx>
          <c:marker>
            <c:symbol val="square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Adjustment!$J$5:$J$16</c:f>
              <c:numCache>
                <c:formatCode>0.0000</c:formatCode>
                <c:ptCount val="12"/>
                <c:pt idx="0">
                  <c:v>0.73842526315204426</c:v>
                </c:pt>
                <c:pt idx="1">
                  <c:v>0.74560574194034046</c:v>
                </c:pt>
                <c:pt idx="2">
                  <c:v>0.75137613339307796</c:v>
                </c:pt>
                <c:pt idx="3">
                  <c:v>0.75794291683329773</c:v>
                </c:pt>
                <c:pt idx="4">
                  <c:v>0.76360103336748042</c:v>
                </c:pt>
                <c:pt idx="5">
                  <c:v>0.76964531508102252</c:v>
                </c:pt>
                <c:pt idx="6">
                  <c:v>0.77639046510220355</c:v>
                </c:pt>
                <c:pt idx="7">
                  <c:v>0.78280602944182198</c:v>
                </c:pt>
                <c:pt idx="8">
                  <c:v>0.78884821701237751</c:v>
                </c:pt>
                <c:pt idx="9">
                  <c:v>0.79556052038078728</c:v>
                </c:pt>
                <c:pt idx="10">
                  <c:v>0.79917967271557677</c:v>
                </c:pt>
                <c:pt idx="11">
                  <c:v>0.83524302151878005</c:v>
                </c:pt>
              </c:numCache>
            </c:numRef>
          </c:yVal>
          <c:smooth val="0"/>
        </c:ser>
        <c:ser>
          <c:idx val="2"/>
          <c:order val="2"/>
          <c:tx>
            <c:v>new</c:v>
          </c:tx>
          <c:marker>
            <c:symbol val="square"/>
            <c:size val="5"/>
            <c:spPr>
              <a:ln>
                <a:solidFill>
                  <a:schemeClr val="tx1"/>
                </a:solidFill>
              </a:ln>
            </c:spPr>
          </c:marker>
          <c:xVal>
            <c:numRef>
              <c:f>Adjustment!$B$5:$B$16</c:f>
              <c:numCache>
                <c:formatCode>General</c:formatCode>
                <c:ptCount val="12"/>
                <c:pt idx="0">
                  <c:v>2079</c:v>
                </c:pt>
                <c:pt idx="1">
                  <c:v>1815</c:v>
                </c:pt>
                <c:pt idx="2">
                  <c:v>1615</c:v>
                </c:pt>
                <c:pt idx="3">
                  <c:v>1415</c:v>
                </c:pt>
                <c:pt idx="4">
                  <c:v>1215</c:v>
                </c:pt>
                <c:pt idx="5">
                  <c:v>1015</c:v>
                </c:pt>
                <c:pt idx="6">
                  <c:v>815</c:v>
                </c:pt>
                <c:pt idx="7">
                  <c:v>615</c:v>
                </c:pt>
                <c:pt idx="8">
                  <c:v>415</c:v>
                </c:pt>
                <c:pt idx="9">
                  <c:v>215</c:v>
                </c:pt>
                <c:pt idx="10">
                  <c:v>115</c:v>
                </c:pt>
                <c:pt idx="11">
                  <c:v>15</c:v>
                </c:pt>
              </c:numCache>
            </c:numRef>
          </c:xVal>
          <c:yVal>
            <c:numRef>
              <c:f>Adjustment!$R$5:$R$16</c:f>
              <c:numCache>
                <c:formatCode>0.0000</c:formatCode>
                <c:ptCount val="12"/>
                <c:pt idx="0">
                  <c:v>0.71863897667637644</c:v>
                </c:pt>
                <c:pt idx="1">
                  <c:v>0.72628545537938216</c:v>
                </c:pt>
                <c:pt idx="2">
                  <c:v>0.73239866809355791</c:v>
                </c:pt>
                <c:pt idx="3">
                  <c:v>0.73932773293218568</c:v>
                </c:pt>
                <c:pt idx="4">
                  <c:v>0.74536026030007785</c:v>
                </c:pt>
                <c:pt idx="5">
                  <c:v>0.75181717126754211</c:v>
                </c:pt>
                <c:pt idx="6">
                  <c:v>0.75905557082315167</c:v>
                </c:pt>
                <c:pt idx="7">
                  <c:v>0.76602097001391412</c:v>
                </c:pt>
                <c:pt idx="8">
                  <c:v>0.77279422307438805</c:v>
                </c:pt>
                <c:pt idx="9">
                  <c:v>0.78053025603652748</c:v>
                </c:pt>
                <c:pt idx="10">
                  <c:v>0.78508403927530779</c:v>
                </c:pt>
                <c:pt idx="11">
                  <c:v>0.80225652364955846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90880"/>
        <c:axId val="97301248"/>
      </c:scatterChart>
      <c:valAx>
        <c:axId val="972908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7301248"/>
        <c:crosses val="autoZero"/>
        <c:crossBetween val="midCat"/>
      </c:valAx>
      <c:valAx>
        <c:axId val="97301248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crossAx val="97290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527855290156085"/>
          <c:y val="0.2249648882385277"/>
          <c:w val="0.17412040886193575"/>
          <c:h val="0.2133677095672775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95249</xdr:rowOff>
    </xdr:from>
    <xdr:to>
      <xdr:col>5</xdr:col>
      <xdr:colOff>828675</xdr:colOff>
      <xdr:row>45</xdr:row>
      <xdr:rowOff>85724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847725</xdr:colOff>
      <xdr:row>28</xdr:row>
      <xdr:rowOff>95250</xdr:rowOff>
    </xdr:from>
    <xdr:to>
      <xdr:col>14</xdr:col>
      <xdr:colOff>133350</xdr:colOff>
      <xdr:row>45</xdr:row>
      <xdr:rowOff>85725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45</xdr:row>
      <xdr:rowOff>104775</xdr:rowOff>
    </xdr:from>
    <xdr:to>
      <xdr:col>5</xdr:col>
      <xdr:colOff>828675</xdr:colOff>
      <xdr:row>62</xdr:row>
      <xdr:rowOff>95250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847725</xdr:colOff>
      <xdr:row>45</xdr:row>
      <xdr:rowOff>104775</xdr:rowOff>
    </xdr:from>
    <xdr:to>
      <xdr:col>14</xdr:col>
      <xdr:colOff>133350</xdr:colOff>
      <xdr:row>62</xdr:row>
      <xdr:rowOff>95250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14</xdr:col>
      <xdr:colOff>161925</xdr:colOff>
      <xdr:row>28</xdr:row>
      <xdr:rowOff>95250</xdr:rowOff>
    </xdr:from>
    <xdr:to>
      <xdr:col>21</xdr:col>
      <xdr:colOff>618565</xdr:colOff>
      <xdr:row>45</xdr:row>
      <xdr:rowOff>85725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onepetro.org/mslib/servlet/onepetropreview?id=00068234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28"/>
  <sheetViews>
    <sheetView tabSelected="1" zoomScale="85" zoomScaleNormal="85" workbookViewId="0">
      <selection activeCell="J22" sqref="J22"/>
    </sheetView>
  </sheetViews>
  <sheetFormatPr defaultRowHeight="15" x14ac:dyDescent="0.25"/>
  <cols>
    <col min="1" max="1" width="6.140625" style="2" customWidth="1"/>
    <col min="2" max="2" width="10.28515625" style="2" customWidth="1"/>
    <col min="3" max="3" width="11.85546875" style="2" customWidth="1"/>
    <col min="4" max="4" width="13.140625" style="2" customWidth="1"/>
    <col min="5" max="5" width="15.140625" style="2" customWidth="1"/>
    <col min="6" max="6" width="15" style="2" customWidth="1"/>
    <col min="7" max="7" width="6" style="2" customWidth="1"/>
    <col min="8" max="8" width="8.140625" style="2" customWidth="1"/>
    <col min="9" max="10" width="9.140625" style="2"/>
    <col min="11" max="11" width="4.85546875" style="2" customWidth="1"/>
    <col min="12" max="16" width="9.140625" style="2"/>
    <col min="17" max="17" width="12.28515625" style="2" bestFit="1" customWidth="1"/>
    <col min="18" max="18" width="9.140625" style="2"/>
    <col min="19" max="19" width="5.42578125" style="2" customWidth="1"/>
    <col min="20" max="20" width="9.140625" style="2"/>
    <col min="21" max="21" width="10.85546875" style="2" bestFit="1" customWidth="1"/>
    <col min="22" max="22" width="15.28515625" style="2" bestFit="1" customWidth="1"/>
    <col min="23" max="23" width="14.140625" style="2" bestFit="1" customWidth="1"/>
    <col min="24" max="16384" width="9.140625" style="2"/>
  </cols>
  <sheetData>
    <row r="1" spans="1:25" s="4" customFormat="1" x14ac:dyDescent="0.25">
      <c r="A1" s="16" t="s">
        <v>15</v>
      </c>
      <c r="B1" s="17"/>
      <c r="C1" s="17"/>
      <c r="D1" s="17"/>
      <c r="E1" s="17"/>
      <c r="F1" s="18"/>
      <c r="G1" s="2"/>
      <c r="H1" s="2"/>
      <c r="I1" s="2"/>
      <c r="J1" s="2"/>
      <c r="K1" s="2"/>
      <c r="L1" s="1" t="s">
        <v>26</v>
      </c>
      <c r="M1" s="2"/>
      <c r="N1" s="2"/>
      <c r="O1" s="2"/>
      <c r="P1" s="2"/>
      <c r="Q1" s="2"/>
      <c r="R1" s="2"/>
      <c r="W1" s="8"/>
    </row>
    <row r="2" spans="1:25" s="8" customFormat="1" ht="15.75" thickBot="1" x14ac:dyDescent="0.3">
      <c r="A2" s="88" t="s">
        <v>0</v>
      </c>
      <c r="B2" s="9" t="s">
        <v>1</v>
      </c>
      <c r="C2" s="9" t="s">
        <v>11</v>
      </c>
      <c r="D2" s="9" t="s">
        <v>2</v>
      </c>
      <c r="E2" s="10" t="s">
        <v>3</v>
      </c>
      <c r="F2" s="19" t="s">
        <v>5</v>
      </c>
      <c r="G2" s="2"/>
      <c r="H2" s="2"/>
      <c r="I2" s="2"/>
      <c r="J2" s="2"/>
      <c r="K2" s="2"/>
      <c r="L2" s="3" t="s">
        <v>25</v>
      </c>
      <c r="M2" s="2"/>
      <c r="N2" s="2"/>
      <c r="O2" s="2"/>
      <c r="P2" s="2"/>
      <c r="Q2" s="2"/>
      <c r="R2" s="2"/>
    </row>
    <row r="3" spans="1:25" s="8" customFormat="1" x14ac:dyDescent="0.25">
      <c r="A3" s="89"/>
      <c r="B3" s="56" t="s">
        <v>10</v>
      </c>
      <c r="C3" s="95" t="s">
        <v>12</v>
      </c>
      <c r="D3" s="56" t="s">
        <v>13</v>
      </c>
      <c r="E3" s="93" t="s">
        <v>24</v>
      </c>
      <c r="F3" s="91" t="s">
        <v>34</v>
      </c>
      <c r="G3" s="2"/>
      <c r="H3" s="27" t="s">
        <v>32</v>
      </c>
      <c r="I3" s="28"/>
      <c r="J3" s="29"/>
      <c r="K3" s="2"/>
      <c r="L3" s="32" t="s">
        <v>33</v>
      </c>
      <c r="M3" s="33"/>
      <c r="N3" s="33"/>
      <c r="O3" s="33"/>
      <c r="P3" s="33"/>
      <c r="Q3" s="33"/>
      <c r="R3" s="34"/>
      <c r="T3" s="77" t="s">
        <v>41</v>
      </c>
      <c r="U3" s="78"/>
      <c r="V3" s="78"/>
      <c r="W3" s="79"/>
    </row>
    <row r="4" spans="1:25" x14ac:dyDescent="0.25">
      <c r="A4" s="90"/>
      <c r="B4" s="56" t="s">
        <v>8</v>
      </c>
      <c r="C4" s="96"/>
      <c r="D4" s="56" t="s">
        <v>9</v>
      </c>
      <c r="E4" s="94"/>
      <c r="F4" s="92"/>
      <c r="H4" s="30" t="s">
        <v>23</v>
      </c>
      <c r="I4" s="11" t="s">
        <v>11</v>
      </c>
      <c r="J4" s="31" t="s">
        <v>5</v>
      </c>
      <c r="L4" s="35" t="s">
        <v>27</v>
      </c>
      <c r="M4" s="12" t="s">
        <v>23</v>
      </c>
      <c r="N4" s="13" t="s">
        <v>11</v>
      </c>
      <c r="O4" s="12" t="s">
        <v>3</v>
      </c>
      <c r="P4" s="12" t="s">
        <v>30</v>
      </c>
      <c r="Q4" s="12" t="s">
        <v>4</v>
      </c>
      <c r="R4" s="36" t="s">
        <v>5</v>
      </c>
      <c r="T4" s="35" t="s">
        <v>23</v>
      </c>
      <c r="U4" s="12" t="s">
        <v>38</v>
      </c>
      <c r="V4" s="12" t="s">
        <v>40</v>
      </c>
      <c r="W4" s="36" t="s">
        <v>39</v>
      </c>
    </row>
    <row r="5" spans="1:25" x14ac:dyDescent="0.25">
      <c r="A5" s="20">
        <v>1</v>
      </c>
      <c r="B5" s="5">
        <v>2079</v>
      </c>
      <c r="C5" s="5">
        <v>1.3420000000000001</v>
      </c>
      <c r="D5" s="5">
        <v>586</v>
      </c>
      <c r="E5" s="5">
        <v>0.93359999999999999</v>
      </c>
      <c r="F5" s="41">
        <f t="shared" ref="F5:F16" si="0">($E$19+0.000218*D5*E5)/C5</f>
        <v>0.71836188688747016</v>
      </c>
      <c r="H5" s="42">
        <f t="shared" ref="H5:H16" si="1">Rsbf-($D$5-D5)*(Bobf/$C$5)</f>
        <v>526</v>
      </c>
      <c r="I5" s="43">
        <f t="shared" ref="I5:I16" si="2">C5*Bobf/$C$5</f>
        <v>1.2889999999999999</v>
      </c>
      <c r="J5" s="44">
        <f t="shared" ref="J5:J16" si="3">(yod+0.000218*H5*E5)/I5</f>
        <v>0.73842526315204426</v>
      </c>
      <c r="L5" s="48">
        <f t="shared" ref="L5:L16" si="4">($C$5-C5)/($C$5-$C$16)</f>
        <v>0</v>
      </c>
      <c r="M5" s="49">
        <f t="shared" ref="M5:M16" si="5">D5*Rsbf/$D$5</f>
        <v>526</v>
      </c>
      <c r="N5" s="50">
        <f t="shared" ref="N5:N16" si="6">Bobf+L5*($C$16-Bobf)</f>
        <v>1.2889999999999999</v>
      </c>
      <c r="O5" s="51">
        <f t="shared" ref="O5:O15" si="7">ygf+($E$5-E5)/($E$5-$E$15)*($E$15-ygf)</f>
        <v>0.8024</v>
      </c>
      <c r="P5" s="51">
        <f t="shared" ref="P5:P16" si="8">yof+L5*(yod-yof)</f>
        <v>0.83431603773584906</v>
      </c>
      <c r="Q5" s="49">
        <f>141.5/P5-131.5</f>
        <v>38.099999999999994</v>
      </c>
      <c r="R5" s="44">
        <f t="shared" ref="R5:R16" si="9">(P5+0.000218*M5*O5)/N5</f>
        <v>0.71863897667637644</v>
      </c>
      <c r="T5" s="83">
        <f t="shared" ref="T5:T16" si="10">M5/$V$17</f>
        <v>93.684609399618751</v>
      </c>
      <c r="U5" s="50">
        <f t="shared" ref="U5:U16" si="11">O5*$V$18/$V$19</f>
        <v>0.96656115845453972</v>
      </c>
      <c r="V5" s="49">
        <f>P5*1000</f>
        <v>834.31603773584902</v>
      </c>
      <c r="W5" s="84">
        <f t="shared" ref="W5:W16" si="12">(V5+T5*U5)/N5</f>
        <v>717.50810110667624</v>
      </c>
    </row>
    <row r="6" spans="1:25" x14ac:dyDescent="0.25">
      <c r="A6" s="20">
        <v>2</v>
      </c>
      <c r="B6" s="5">
        <v>1815</v>
      </c>
      <c r="C6" s="5">
        <v>1.3160000000000001</v>
      </c>
      <c r="D6" s="5">
        <v>524</v>
      </c>
      <c r="E6" s="5">
        <v>0.9607</v>
      </c>
      <c r="F6" s="41">
        <f t="shared" si="0"/>
        <v>0.72531823845211618</v>
      </c>
      <c r="H6" s="42">
        <f t="shared" si="1"/>
        <v>466.44858420268258</v>
      </c>
      <c r="I6" s="43">
        <f t="shared" si="2"/>
        <v>1.2640268256333829</v>
      </c>
      <c r="J6" s="44">
        <f t="shared" si="3"/>
        <v>0.74560574194034046</v>
      </c>
      <c r="L6" s="52">
        <f t="shared" si="4"/>
        <v>8.9965397923875465E-2</v>
      </c>
      <c r="M6" s="49">
        <f t="shared" si="5"/>
        <v>470.34812286689419</v>
      </c>
      <c r="N6" s="50">
        <f t="shared" si="6"/>
        <v>1.2677681660899653</v>
      </c>
      <c r="O6" s="51">
        <f t="shared" si="7"/>
        <v>0.83389821870361214</v>
      </c>
      <c r="P6" s="51">
        <f t="shared" si="8"/>
        <v>0.83525708314534919</v>
      </c>
      <c r="Q6" s="49">
        <f t="shared" ref="Q6:Q16" si="13">141.5/P6-131.5</f>
        <v>37.908919547440149</v>
      </c>
      <c r="R6" s="44">
        <f t="shared" si="9"/>
        <v>0.72628545537938216</v>
      </c>
      <c r="T6" s="83">
        <f t="shared" si="10"/>
        <v>83.772585879522566</v>
      </c>
      <c r="U6" s="50">
        <f t="shared" si="11"/>
        <v>1.0045035248047613</v>
      </c>
      <c r="V6" s="49">
        <f t="shared" ref="V6:V16" si="14">P6*1000</f>
        <v>835.25708314534916</v>
      </c>
      <c r="W6" s="84">
        <f t="shared" si="12"/>
        <v>725.21693282373735</v>
      </c>
    </row>
    <row r="7" spans="1:25" x14ac:dyDescent="0.25">
      <c r="A7" s="20">
        <v>3</v>
      </c>
      <c r="B7" s="5">
        <v>1615</v>
      </c>
      <c r="C7" s="5">
        <v>1.296</v>
      </c>
      <c r="D7" s="5">
        <v>477</v>
      </c>
      <c r="E7" s="5">
        <v>0.9859</v>
      </c>
      <c r="F7" s="41">
        <f t="shared" si="0"/>
        <v>0.73093820740971072</v>
      </c>
      <c r="H7" s="42">
        <f t="shared" si="1"/>
        <v>421.30476900149029</v>
      </c>
      <c r="I7" s="43">
        <f t="shared" si="2"/>
        <v>1.2448166915052161</v>
      </c>
      <c r="J7" s="44">
        <f t="shared" si="3"/>
        <v>0.75137613339307796</v>
      </c>
      <c r="L7" s="52">
        <f t="shared" si="4"/>
        <v>0.15916955017301043</v>
      </c>
      <c r="M7" s="49">
        <f t="shared" si="5"/>
        <v>428.16040955631399</v>
      </c>
      <c r="N7" s="50">
        <f t="shared" si="6"/>
        <v>1.2514359861591695</v>
      </c>
      <c r="O7" s="51">
        <f t="shared" si="7"/>
        <v>0.86318807521029195</v>
      </c>
      <c r="P7" s="51">
        <f t="shared" si="8"/>
        <v>0.83598096422958001</v>
      </c>
      <c r="Q7" s="49">
        <f t="shared" si="13"/>
        <v>37.762227316866017</v>
      </c>
      <c r="R7" s="44">
        <f t="shared" si="9"/>
        <v>0.73239866809355791</v>
      </c>
      <c r="T7" s="83">
        <f t="shared" si="10"/>
        <v>76.258632565901266</v>
      </c>
      <c r="U7" s="50">
        <f t="shared" si="11"/>
        <v>1.0397857252485097</v>
      </c>
      <c r="V7" s="49">
        <f t="shared" si="14"/>
        <v>835.98096422957997</v>
      </c>
      <c r="W7" s="84">
        <f t="shared" si="12"/>
        <v>731.37868170762511</v>
      </c>
    </row>
    <row r="8" spans="1:25" x14ac:dyDescent="0.25">
      <c r="A8" s="20">
        <v>4</v>
      </c>
      <c r="B8" s="5">
        <v>1415</v>
      </c>
      <c r="C8" s="5">
        <v>1.274</v>
      </c>
      <c r="D8" s="5">
        <v>426</v>
      </c>
      <c r="E8" s="5">
        <v>1.0189999999999999</v>
      </c>
      <c r="F8" s="41">
        <f t="shared" si="0"/>
        <v>0.73736939670563972</v>
      </c>
      <c r="H8" s="42">
        <f t="shared" si="1"/>
        <v>372.31892697466469</v>
      </c>
      <c r="I8" s="43">
        <f t="shared" si="2"/>
        <v>1.2236855439642325</v>
      </c>
      <c r="J8" s="44">
        <f t="shared" si="3"/>
        <v>0.75794291683329773</v>
      </c>
      <c r="L8" s="52">
        <f t="shared" si="4"/>
        <v>0.2352941176470589</v>
      </c>
      <c r="M8" s="49">
        <f t="shared" si="5"/>
        <v>382.38225255972696</v>
      </c>
      <c r="N8" s="50">
        <f t="shared" si="6"/>
        <v>1.2334705882352941</v>
      </c>
      <c r="O8" s="51">
        <f t="shared" si="7"/>
        <v>0.9016600692726372</v>
      </c>
      <c r="P8" s="51">
        <f t="shared" si="8"/>
        <v>0.83677723342223398</v>
      </c>
      <c r="Q8" s="49">
        <f t="shared" si="13"/>
        <v>37.601159004166817</v>
      </c>
      <c r="R8" s="44">
        <f t="shared" si="9"/>
        <v>0.73932773293218568</v>
      </c>
      <c r="T8" s="83">
        <f t="shared" si="10"/>
        <v>68.105193863886669</v>
      </c>
      <c r="U8" s="50">
        <f t="shared" si="11"/>
        <v>1.0861286155139092</v>
      </c>
      <c r="V8" s="49">
        <f t="shared" si="14"/>
        <v>836.77723342223396</v>
      </c>
      <c r="W8" s="84">
        <f t="shared" si="12"/>
        <v>738.36234283130818</v>
      </c>
    </row>
    <row r="9" spans="1:25" x14ac:dyDescent="0.25">
      <c r="A9" s="20">
        <v>5</v>
      </c>
      <c r="B9" s="5">
        <v>1215</v>
      </c>
      <c r="C9" s="5">
        <v>1.2549999999999999</v>
      </c>
      <c r="D9" s="5">
        <v>381</v>
      </c>
      <c r="E9" s="5">
        <v>1.0550999999999999</v>
      </c>
      <c r="F9" s="41">
        <f t="shared" si="0"/>
        <v>0.74295666550038653</v>
      </c>
      <c r="H9" s="42">
        <f t="shared" si="1"/>
        <v>329.0961251862891</v>
      </c>
      <c r="I9" s="43">
        <f t="shared" si="2"/>
        <v>1.2054359165424735</v>
      </c>
      <c r="J9" s="44">
        <f t="shared" si="3"/>
        <v>0.76360103336748042</v>
      </c>
      <c r="L9" s="52">
        <f t="shared" si="4"/>
        <v>0.30103806228373753</v>
      </c>
      <c r="M9" s="49">
        <f t="shared" si="5"/>
        <v>341.98976109215016</v>
      </c>
      <c r="N9" s="50">
        <f t="shared" si="6"/>
        <v>1.2179550173010378</v>
      </c>
      <c r="O9" s="51">
        <f t="shared" si="7"/>
        <v>0.94361895101434923</v>
      </c>
      <c r="P9" s="51">
        <f t="shared" si="8"/>
        <v>0.83746492045225329</v>
      </c>
      <c r="Q9" s="49">
        <f t="shared" si="13"/>
        <v>37.462301040127443</v>
      </c>
      <c r="R9" s="44">
        <f t="shared" si="9"/>
        <v>0.74536026030007785</v>
      </c>
      <c r="T9" s="83">
        <f t="shared" si="10"/>
        <v>60.910983244462017</v>
      </c>
      <c r="U9" s="50">
        <f t="shared" si="11"/>
        <v>1.1366717677368978</v>
      </c>
      <c r="V9" s="49">
        <f t="shared" si="14"/>
        <v>837.4649204522533</v>
      </c>
      <c r="W9" s="84">
        <f t="shared" si="12"/>
        <v>744.44515813117448</v>
      </c>
    </row>
    <row r="10" spans="1:25" x14ac:dyDescent="0.25">
      <c r="A10" s="20">
        <v>6</v>
      </c>
      <c r="B10" s="5">
        <v>1015</v>
      </c>
      <c r="C10" s="5">
        <v>1.2350000000000001</v>
      </c>
      <c r="D10" s="5">
        <v>334</v>
      </c>
      <c r="E10" s="5">
        <v>1.1016999999999999</v>
      </c>
      <c r="F10" s="41">
        <f t="shared" si="0"/>
        <v>0.74898226704695137</v>
      </c>
      <c r="H10" s="42">
        <f t="shared" si="1"/>
        <v>283.95230998509692</v>
      </c>
      <c r="I10" s="43">
        <f t="shared" si="2"/>
        <v>1.186225782414307</v>
      </c>
      <c r="J10" s="44">
        <f t="shared" si="3"/>
        <v>0.76964531508102252</v>
      </c>
      <c r="L10" s="58">
        <f t="shared" si="4"/>
        <v>0.37024221453287171</v>
      </c>
      <c r="M10" s="59">
        <f t="shared" si="5"/>
        <v>299.80204778156997</v>
      </c>
      <c r="N10" s="60">
        <f t="shared" si="6"/>
        <v>1.2016228373702422</v>
      </c>
      <c r="O10" s="61">
        <f t="shared" si="7"/>
        <v>0.99778193963384454</v>
      </c>
      <c r="P10" s="61">
        <f t="shared" si="8"/>
        <v>0.83818880153648412</v>
      </c>
      <c r="Q10" s="59">
        <f t="shared" si="13"/>
        <v>37.316380916347612</v>
      </c>
      <c r="R10" s="62">
        <f t="shared" si="9"/>
        <v>0.75181717126754211</v>
      </c>
      <c r="S10" s="57"/>
      <c r="T10" s="85">
        <f t="shared" si="10"/>
        <v>53.397029930840716</v>
      </c>
      <c r="U10" s="60">
        <f t="shared" si="11"/>
        <v>1.2019158368114486</v>
      </c>
      <c r="V10" s="59">
        <f t="shared" si="14"/>
        <v>838.18880153648411</v>
      </c>
      <c r="W10" s="86">
        <f t="shared" si="12"/>
        <v>750.95737979139324</v>
      </c>
      <c r="X10" s="57"/>
      <c r="Y10" s="57"/>
    </row>
    <row r="11" spans="1:25" x14ac:dyDescent="0.25">
      <c r="A11" s="20">
        <v>7</v>
      </c>
      <c r="B11" s="5">
        <v>815</v>
      </c>
      <c r="C11" s="5">
        <v>1.2130000000000001</v>
      </c>
      <c r="D11" s="5">
        <v>283</v>
      </c>
      <c r="E11" s="5">
        <v>1.1673</v>
      </c>
      <c r="F11" s="41">
        <f t="shared" si="0"/>
        <v>0.75580504996124076</v>
      </c>
      <c r="H11" s="42">
        <f t="shared" si="1"/>
        <v>234.96646795827127</v>
      </c>
      <c r="I11" s="43">
        <f t="shared" si="2"/>
        <v>1.1650946348733233</v>
      </c>
      <c r="J11" s="44">
        <f t="shared" si="3"/>
        <v>0.77639046510220355</v>
      </c>
      <c r="L11" s="58">
        <f t="shared" si="4"/>
        <v>0.4463667820069202</v>
      </c>
      <c r="M11" s="59">
        <f t="shared" si="5"/>
        <v>254.02389078498294</v>
      </c>
      <c r="N11" s="60">
        <f t="shared" si="6"/>
        <v>1.1836574394463668</v>
      </c>
      <c r="O11" s="61">
        <f t="shared" si="7"/>
        <v>1.0740285502226621</v>
      </c>
      <c r="P11" s="61">
        <f t="shared" si="8"/>
        <v>0.83898507072913808</v>
      </c>
      <c r="Q11" s="59">
        <f t="shared" si="13"/>
        <v>37.156159610833555</v>
      </c>
      <c r="R11" s="62">
        <f t="shared" si="9"/>
        <v>0.75905557082315167</v>
      </c>
      <c r="S11" s="57"/>
      <c r="T11" s="85">
        <f t="shared" si="10"/>
        <v>45.243591228826119</v>
      </c>
      <c r="U11" s="60">
        <f t="shared" si="11"/>
        <v>1.2937615649507304</v>
      </c>
      <c r="V11" s="59">
        <f t="shared" si="14"/>
        <v>838.9850707291381</v>
      </c>
      <c r="W11" s="86">
        <f t="shared" si="12"/>
        <v>758.25949316985918</v>
      </c>
      <c r="X11" s="57"/>
      <c r="Y11" s="57"/>
    </row>
    <row r="12" spans="1:25" x14ac:dyDescent="0.25">
      <c r="A12" s="20">
        <v>8</v>
      </c>
      <c r="B12" s="5">
        <v>615</v>
      </c>
      <c r="C12" s="5">
        <v>1.1919999999999999</v>
      </c>
      <c r="D12" s="5">
        <v>235</v>
      </c>
      <c r="E12" s="5">
        <v>1.2503</v>
      </c>
      <c r="F12" s="41">
        <f t="shared" si="0"/>
        <v>0.76244042651257138</v>
      </c>
      <c r="H12" s="42">
        <f t="shared" si="1"/>
        <v>188.86214605067067</v>
      </c>
      <c r="I12" s="43">
        <f t="shared" si="2"/>
        <v>1.1449239940387479</v>
      </c>
      <c r="J12" s="44">
        <f t="shared" si="3"/>
        <v>0.78280602944182198</v>
      </c>
      <c r="L12" s="58">
        <f t="shared" si="4"/>
        <v>0.51903114186851229</v>
      </c>
      <c r="M12" s="59">
        <f t="shared" si="5"/>
        <v>210.93856655290102</v>
      </c>
      <c r="N12" s="60">
        <f t="shared" si="6"/>
        <v>1.166508650519031</v>
      </c>
      <c r="O12" s="61">
        <f t="shared" si="7"/>
        <v>1.170499109351806</v>
      </c>
      <c r="P12" s="61">
        <f t="shared" si="8"/>
        <v>0.83974514586758053</v>
      </c>
      <c r="Q12" s="59">
        <f t="shared" si="13"/>
        <v>37.003504541023148</v>
      </c>
      <c r="R12" s="62">
        <f t="shared" si="9"/>
        <v>0.76602097001391412</v>
      </c>
      <c r="S12" s="57"/>
      <c r="T12" s="85">
        <f t="shared" si="10"/>
        <v>37.569766568106495</v>
      </c>
      <c r="U12" s="60">
        <f t="shared" si="11"/>
        <v>1.4099688124440286</v>
      </c>
      <c r="V12" s="59">
        <f t="shared" si="14"/>
        <v>839.7451458675805</v>
      </c>
      <c r="W12" s="86">
        <f t="shared" si="12"/>
        <v>765.28994844762087</v>
      </c>
      <c r="X12" s="57"/>
      <c r="Y12" s="57"/>
    </row>
    <row r="13" spans="1:25" x14ac:dyDescent="0.25">
      <c r="A13" s="20">
        <v>9</v>
      </c>
      <c r="B13" s="5">
        <v>415</v>
      </c>
      <c r="C13" s="5">
        <v>1.171</v>
      </c>
      <c r="D13" s="5">
        <v>187</v>
      </c>
      <c r="E13" s="5">
        <v>1.3651</v>
      </c>
      <c r="F13" s="41">
        <f t="shared" si="0"/>
        <v>0.76893747737231855</v>
      </c>
      <c r="H13" s="42">
        <f t="shared" si="1"/>
        <v>142.75782414307008</v>
      </c>
      <c r="I13" s="43">
        <f t="shared" si="2"/>
        <v>1.1247533532041729</v>
      </c>
      <c r="J13" s="44">
        <f t="shared" si="3"/>
        <v>0.78884821701237751</v>
      </c>
      <c r="L13" s="58">
        <f t="shared" si="4"/>
        <v>0.59169550173010366</v>
      </c>
      <c r="M13" s="59">
        <f t="shared" si="5"/>
        <v>167.85324232081911</v>
      </c>
      <c r="N13" s="60">
        <f t="shared" si="6"/>
        <v>1.1493598615916956</v>
      </c>
      <c r="O13" s="61">
        <f t="shared" si="7"/>
        <v>1.3039306778822364</v>
      </c>
      <c r="P13" s="61">
        <f t="shared" si="8"/>
        <v>0.84050522100602298</v>
      </c>
      <c r="Q13" s="59">
        <f t="shared" si="13"/>
        <v>36.851125565448484</v>
      </c>
      <c r="R13" s="62">
        <f t="shared" si="9"/>
        <v>0.77279422307438805</v>
      </c>
      <c r="S13" s="57"/>
      <c r="T13" s="85">
        <f t="shared" si="10"/>
        <v>29.895941907386867</v>
      </c>
      <c r="U13" s="60">
        <f t="shared" si="11"/>
        <v>1.5706988366877714</v>
      </c>
      <c r="V13" s="59">
        <f t="shared" si="14"/>
        <v>840.50522100602302</v>
      </c>
      <c r="W13" s="86">
        <f t="shared" si="12"/>
        <v>772.13653603026864</v>
      </c>
      <c r="X13" s="57"/>
      <c r="Y13" s="57"/>
    </row>
    <row r="14" spans="1:25" x14ac:dyDescent="0.25">
      <c r="A14" s="20">
        <v>10</v>
      </c>
      <c r="B14" s="5">
        <v>215</v>
      </c>
      <c r="C14" s="5">
        <v>1.145</v>
      </c>
      <c r="D14" s="5">
        <v>131</v>
      </c>
      <c r="E14" s="5">
        <v>1.5552999999999999</v>
      </c>
      <c r="F14" s="41">
        <f t="shared" si="0"/>
        <v>0.77658722864889518</v>
      </c>
      <c r="H14" s="42">
        <f t="shared" si="1"/>
        <v>88.969448584202723</v>
      </c>
      <c r="I14" s="43">
        <f t="shared" si="2"/>
        <v>1.0997801788375559</v>
      </c>
      <c r="J14" s="44">
        <f t="shared" si="3"/>
        <v>0.79556052038078728</v>
      </c>
      <c r="L14" s="58">
        <f t="shared" si="4"/>
        <v>0.68166089965397914</v>
      </c>
      <c r="M14" s="59">
        <f t="shared" si="5"/>
        <v>117.58703071672355</v>
      </c>
      <c r="N14" s="60">
        <f t="shared" si="6"/>
        <v>1.1281280276816608</v>
      </c>
      <c r="O14" s="61">
        <f t="shared" si="7"/>
        <v>1.524999356754082</v>
      </c>
      <c r="P14" s="61">
        <f t="shared" si="8"/>
        <v>0.841446266415523</v>
      </c>
      <c r="Q14" s="59">
        <f t="shared" si="13"/>
        <v>36.662847287653733</v>
      </c>
      <c r="R14" s="62">
        <f t="shared" si="9"/>
        <v>0.78053025603652748</v>
      </c>
      <c r="S14" s="57"/>
      <c r="T14" s="85">
        <f t="shared" si="10"/>
        <v>20.943146469880642</v>
      </c>
      <c r="U14" s="60">
        <f t="shared" si="11"/>
        <v>1.8369954447989201</v>
      </c>
      <c r="V14" s="59">
        <f t="shared" si="14"/>
        <v>841.44626641552304</v>
      </c>
      <c r="W14" s="86">
        <f t="shared" si="12"/>
        <v>779.98126940318252</v>
      </c>
      <c r="X14" s="57"/>
      <c r="Y14" s="57"/>
    </row>
    <row r="15" spans="1:25" x14ac:dyDescent="0.25">
      <c r="A15" s="20">
        <v>11</v>
      </c>
      <c r="B15" s="5">
        <v>115</v>
      </c>
      <c r="C15" s="5">
        <v>1.1259999999999999</v>
      </c>
      <c r="D15" s="5">
        <v>92</v>
      </c>
      <c r="E15" s="5">
        <v>1.742</v>
      </c>
      <c r="F15" s="41">
        <f t="shared" si="0"/>
        <v>0.78127324280904542</v>
      </c>
      <c r="H15" s="42">
        <f t="shared" si="1"/>
        <v>51.509687034277249</v>
      </c>
      <c r="I15" s="43">
        <f t="shared" si="2"/>
        <v>1.0815305514157971</v>
      </c>
      <c r="J15" s="44">
        <f t="shared" si="3"/>
        <v>0.79917967271557677</v>
      </c>
      <c r="L15" s="58">
        <f t="shared" si="4"/>
        <v>0.74740484429065768</v>
      </c>
      <c r="M15" s="59">
        <f t="shared" si="5"/>
        <v>82.580204778156997</v>
      </c>
      <c r="N15" s="60">
        <f t="shared" si="6"/>
        <v>1.1126124567474047</v>
      </c>
      <c r="O15" s="61">
        <f t="shared" si="7"/>
        <v>1.742</v>
      </c>
      <c r="P15" s="61">
        <f t="shared" si="8"/>
        <v>0.84213395344554243</v>
      </c>
      <c r="Q15" s="59">
        <f t="shared" si="13"/>
        <v>36.525525417970528</v>
      </c>
      <c r="R15" s="62">
        <f t="shared" si="9"/>
        <v>0.78508403927530779</v>
      </c>
      <c r="S15" s="57"/>
      <c r="T15" s="85">
        <f t="shared" si="10"/>
        <v>14.708163933045947</v>
      </c>
      <c r="U15" s="60">
        <f t="shared" si="11"/>
        <v>2.0983917472928817</v>
      </c>
      <c r="V15" s="59">
        <f t="shared" si="14"/>
        <v>842.13395344554237</v>
      </c>
      <c r="W15" s="86">
        <f t="shared" si="12"/>
        <v>784.63748807251807</v>
      </c>
      <c r="X15" s="57"/>
      <c r="Y15" s="57"/>
    </row>
    <row r="16" spans="1:25" ht="15.75" thickBot="1" x14ac:dyDescent="0.3">
      <c r="A16" s="20">
        <v>12</v>
      </c>
      <c r="B16" s="5">
        <v>15</v>
      </c>
      <c r="C16" s="5">
        <v>1.0529999999999999</v>
      </c>
      <c r="D16" s="5">
        <v>0</v>
      </c>
      <c r="E16" s="5">
        <v>0</v>
      </c>
      <c r="F16" s="41">
        <f t="shared" si="0"/>
        <v>0.80225652364955846</v>
      </c>
      <c r="H16" s="45">
        <f t="shared" si="1"/>
        <v>-36.856929955290525</v>
      </c>
      <c r="I16" s="46">
        <f t="shared" si="2"/>
        <v>1.011413561847988</v>
      </c>
      <c r="J16" s="47">
        <f t="shared" si="3"/>
        <v>0.83524302151878005</v>
      </c>
      <c r="L16" s="63">
        <f t="shared" si="4"/>
        <v>1</v>
      </c>
      <c r="M16" s="64">
        <f t="shared" si="5"/>
        <v>0</v>
      </c>
      <c r="N16" s="65">
        <f t="shared" si="6"/>
        <v>1.0529999999999999</v>
      </c>
      <c r="O16" s="66"/>
      <c r="P16" s="67">
        <f t="shared" si="8"/>
        <v>0.84477611940298503</v>
      </c>
      <c r="Q16" s="64">
        <f t="shared" si="13"/>
        <v>36</v>
      </c>
      <c r="R16" s="68">
        <f t="shared" si="9"/>
        <v>0.80225652364955846</v>
      </c>
      <c r="S16" s="57"/>
      <c r="T16" s="85">
        <f t="shared" si="10"/>
        <v>0</v>
      </c>
      <c r="U16" s="87">
        <f t="shared" si="11"/>
        <v>0</v>
      </c>
      <c r="V16" s="59">
        <f t="shared" si="14"/>
        <v>844.77611940298505</v>
      </c>
      <c r="W16" s="86">
        <f t="shared" si="12"/>
        <v>802.25652364955852</v>
      </c>
      <c r="X16" s="57"/>
      <c r="Y16" s="57"/>
    </row>
    <row r="17" spans="1:26" x14ac:dyDescent="0.25">
      <c r="A17" s="21"/>
      <c r="B17" s="6"/>
      <c r="C17" s="6"/>
      <c r="D17" s="6"/>
      <c r="E17" s="6"/>
      <c r="F17" s="22"/>
      <c r="H17" s="7"/>
      <c r="I17" s="14"/>
      <c r="J17" s="15"/>
      <c r="L17" s="69"/>
      <c r="M17" s="70"/>
      <c r="N17" s="71"/>
      <c r="O17" s="69"/>
      <c r="P17" s="72"/>
      <c r="Q17" s="72"/>
      <c r="R17" s="72"/>
      <c r="S17" s="57"/>
      <c r="T17" s="73" t="s">
        <v>35</v>
      </c>
      <c r="U17" s="69"/>
      <c r="V17" s="81">
        <v>5.6145828367208903</v>
      </c>
      <c r="W17" s="76"/>
      <c r="X17" s="57"/>
      <c r="Y17" s="57"/>
    </row>
    <row r="18" spans="1:26" x14ac:dyDescent="0.25">
      <c r="A18" s="23" t="s">
        <v>4</v>
      </c>
      <c r="B18" s="6" t="s">
        <v>14</v>
      </c>
      <c r="C18" s="6"/>
      <c r="D18" s="6"/>
      <c r="E18" s="6">
        <v>36</v>
      </c>
      <c r="F18" s="22"/>
      <c r="H18" s="7"/>
      <c r="I18" s="7"/>
      <c r="L18" s="57"/>
      <c r="M18" s="57"/>
      <c r="N18" s="57"/>
      <c r="O18" s="57"/>
      <c r="P18" s="57"/>
      <c r="Q18" s="57"/>
      <c r="R18" s="57"/>
      <c r="S18" s="57"/>
      <c r="T18" s="73" t="s">
        <v>36</v>
      </c>
      <c r="U18" s="69"/>
      <c r="V18" s="81">
        <f>0.0752</f>
        <v>7.5200000000000003E-2</v>
      </c>
      <c r="W18" s="76"/>
      <c r="X18" s="57"/>
      <c r="Y18" s="57"/>
    </row>
    <row r="19" spans="1:26" ht="15.75" thickBot="1" x14ac:dyDescent="0.3">
      <c r="A19" s="24" t="s">
        <v>30</v>
      </c>
      <c r="B19" s="25" t="s">
        <v>31</v>
      </c>
      <c r="C19" s="25"/>
      <c r="D19" s="25"/>
      <c r="E19" s="53">
        <f>141.5/(E18+131.5)</f>
        <v>0.84477611940298503</v>
      </c>
      <c r="F19" s="26"/>
      <c r="L19" s="69"/>
      <c r="M19" s="70"/>
      <c r="N19" s="71"/>
      <c r="O19" s="69"/>
      <c r="P19" s="72"/>
      <c r="Q19" s="72"/>
      <c r="R19" s="72"/>
      <c r="S19" s="57"/>
      <c r="T19" s="80" t="s">
        <v>37</v>
      </c>
      <c r="U19" s="74"/>
      <c r="V19" s="82">
        <v>6.2427999999999997E-2</v>
      </c>
      <c r="W19" s="75"/>
      <c r="X19" s="57"/>
      <c r="Y19" s="57"/>
    </row>
    <row r="20" spans="1:26" ht="15.75" thickBot="1" x14ac:dyDescent="0.3"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W20" s="57"/>
      <c r="X20" s="57"/>
      <c r="Y20" s="57"/>
      <c r="Z20" s="57"/>
    </row>
    <row r="21" spans="1:26" s="4" customFormat="1" x14ac:dyDescent="0.25">
      <c r="A21" s="16" t="s">
        <v>6</v>
      </c>
      <c r="B21" s="17"/>
      <c r="C21" s="17"/>
      <c r="D21" s="17"/>
      <c r="E21" s="18"/>
      <c r="F21" s="57"/>
      <c r="G21" s="57"/>
      <c r="H21" s="57"/>
      <c r="I21" s="57"/>
      <c r="J21" s="57"/>
      <c r="K21" s="57"/>
      <c r="L21" s="69"/>
      <c r="M21" s="70"/>
      <c r="N21" s="71"/>
      <c r="O21" s="69"/>
      <c r="P21" s="72"/>
      <c r="Q21" s="72"/>
      <c r="R21" s="72"/>
      <c r="S21" s="57"/>
      <c r="W21" s="57"/>
      <c r="X21" s="57"/>
      <c r="Y21" s="57"/>
      <c r="Z21" s="57"/>
    </row>
    <row r="22" spans="1:26" x14ac:dyDescent="0.25">
      <c r="A22" s="37" t="s">
        <v>7</v>
      </c>
      <c r="B22" s="6" t="s">
        <v>16</v>
      </c>
      <c r="C22" s="6"/>
      <c r="D22" s="6"/>
      <c r="E22" s="38">
        <v>2079</v>
      </c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</row>
    <row r="23" spans="1:26" x14ac:dyDescent="0.25">
      <c r="A23" s="37" t="s">
        <v>18</v>
      </c>
      <c r="B23" s="6" t="s">
        <v>17</v>
      </c>
      <c r="C23" s="6"/>
      <c r="D23" s="6"/>
      <c r="E23" s="38">
        <v>1.2889999999999999</v>
      </c>
      <c r="F23" s="57"/>
      <c r="G23" s="57"/>
      <c r="H23" s="57"/>
      <c r="I23" s="57"/>
      <c r="J23" s="57"/>
      <c r="K23" s="57"/>
      <c r="L23" s="69"/>
      <c r="M23" s="70"/>
      <c r="N23" s="71"/>
      <c r="O23" s="69"/>
      <c r="P23" s="72"/>
      <c r="Q23" s="72"/>
      <c r="R23" s="72"/>
      <c r="S23" s="57"/>
      <c r="T23" s="57"/>
      <c r="U23" s="57"/>
      <c r="V23" s="57"/>
      <c r="W23" s="57"/>
      <c r="X23" s="57"/>
      <c r="Y23" s="57"/>
      <c r="Z23" s="57"/>
    </row>
    <row r="24" spans="1:26" x14ac:dyDescent="0.25">
      <c r="A24" s="37" t="s">
        <v>19</v>
      </c>
      <c r="B24" s="6" t="s">
        <v>20</v>
      </c>
      <c r="C24" s="6"/>
      <c r="D24" s="6"/>
      <c r="E24" s="38">
        <v>526</v>
      </c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</row>
    <row r="25" spans="1:26" x14ac:dyDescent="0.25">
      <c r="A25" s="39" t="s">
        <v>28</v>
      </c>
      <c r="B25" s="6" t="s">
        <v>21</v>
      </c>
      <c r="C25" s="6"/>
      <c r="D25" s="6"/>
      <c r="E25" s="38">
        <v>0.8024</v>
      </c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</row>
    <row r="26" spans="1:26" x14ac:dyDescent="0.25">
      <c r="A26" s="37" t="s">
        <v>4</v>
      </c>
      <c r="B26" s="6" t="s">
        <v>14</v>
      </c>
      <c r="C26" s="6"/>
      <c r="D26" s="6"/>
      <c r="E26" s="38">
        <v>38.1</v>
      </c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26" x14ac:dyDescent="0.25">
      <c r="A27" s="37" t="s">
        <v>29</v>
      </c>
      <c r="B27" s="6" t="s">
        <v>31</v>
      </c>
      <c r="C27" s="6"/>
      <c r="D27" s="6"/>
      <c r="E27" s="54">
        <f>141.5/(E26+131.5)</f>
        <v>0.83431603773584906</v>
      </c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</row>
    <row r="28" spans="1:26" ht="15.75" thickBot="1" x14ac:dyDescent="0.3">
      <c r="A28" s="40" t="s">
        <v>5</v>
      </c>
      <c r="B28" s="25" t="s">
        <v>22</v>
      </c>
      <c r="C28" s="25"/>
      <c r="D28" s="25"/>
      <c r="E28" s="55">
        <f>($E$27+0.000218*E24*E25)/E23</f>
        <v>0.71863897667637644</v>
      </c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</row>
  </sheetData>
  <mergeCells count="4">
    <mergeCell ref="A2:A4"/>
    <mergeCell ref="F3:F4"/>
    <mergeCell ref="E3:E4"/>
    <mergeCell ref="C3:C4"/>
  </mergeCells>
  <hyperlinks>
    <hyperlink ref="L2" r:id="rId1"/>
  </hyperlinks>
  <pageMargins left="0.25" right="0.25" top="0.75" bottom="0.75" header="0.3" footer="0.3"/>
  <pageSetup paperSize="9" scale="53" orientation="landscape" verticalDpi="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Adjustment</vt:lpstr>
      <vt:lpstr>Bobf</vt:lpstr>
      <vt:lpstr>Pbub</vt:lpstr>
      <vt:lpstr>Rsbf</vt:lpstr>
      <vt:lpstr>ygf</vt:lpstr>
      <vt:lpstr>yod</vt:lpstr>
      <vt:lpstr>yof</vt:lpstr>
      <vt:lpstr>Adjustment!Область_печати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</dc:creator>
  <cp:lastModifiedBy>sa</cp:lastModifiedBy>
  <cp:lastPrinted>2012-11-20T10:32:36Z</cp:lastPrinted>
  <dcterms:created xsi:type="dcterms:W3CDTF">2012-11-20T08:48:24Z</dcterms:created>
  <dcterms:modified xsi:type="dcterms:W3CDTF">2012-12-10T05:26:39Z</dcterms:modified>
</cp:coreProperties>
</file>